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FE50CAA1-3476-489F-827B-CC543CE365DA}" xr6:coauthVersionLast="47" xr6:coauthVersionMax="47" xr10:uidLastSave="{00000000-0000-0000-0000-000000000000}"/>
  <bookViews>
    <workbookView xWindow="-120" yWindow="-120" windowWidth="29040" windowHeight="15720" xr2:uid="{00000000-000D-0000-FFFF-FFFF00000000}"/>
  </bookViews>
  <sheets>
    <sheet name="簡易試算ツール" sheetId="3"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3" l="1"/>
  <c r="Z8" i="3"/>
  <c r="Z9" i="3"/>
  <c r="K7" i="3"/>
  <c r="K8" i="3"/>
  <c r="K9" i="3"/>
  <c r="K4" i="3"/>
  <c r="P9" i="3"/>
  <c r="D5" i="3"/>
  <c r="D6" i="3"/>
  <c r="D7" i="3"/>
  <c r="D8" i="3"/>
  <c r="D9" i="3"/>
  <c r="D4" i="3"/>
  <c r="F10" i="3"/>
  <c r="C10" i="3"/>
  <c r="B10" i="3"/>
  <c r="G9" i="3"/>
  <c r="H9" i="3" s="1"/>
  <c r="J9" i="3" s="1"/>
  <c r="G8" i="3"/>
  <c r="H8" i="3" s="1"/>
  <c r="G7" i="3"/>
  <c r="H7" i="3" s="1"/>
  <c r="J7" i="3" s="1"/>
  <c r="G6" i="3"/>
  <c r="H6" i="3" s="1"/>
  <c r="J6" i="3" s="1"/>
  <c r="G5" i="3"/>
  <c r="H5" i="3" s="1"/>
  <c r="G4" i="3"/>
  <c r="H4" i="3" s="1"/>
  <c r="K6" i="3" l="1"/>
  <c r="K5" i="3"/>
  <c r="L8" i="3"/>
  <c r="M8" i="3" s="1"/>
  <c r="L7" i="3"/>
  <c r="P7" i="3" s="1"/>
  <c r="L5" i="3"/>
  <c r="M5" i="3" s="1"/>
  <c r="J4" i="3"/>
  <c r="H10" i="3"/>
  <c r="J5" i="3"/>
  <c r="L6" i="3"/>
  <c r="M6" i="3" s="1"/>
  <c r="L9" i="3"/>
  <c r="M9" i="3" s="1"/>
  <c r="D10" i="3"/>
  <c r="J8" i="3"/>
  <c r="L4" i="3"/>
  <c r="M4" i="3" s="1"/>
  <c r="P8" i="3" l="1"/>
  <c r="P4" i="3"/>
  <c r="P6" i="3"/>
  <c r="P5" i="3"/>
  <c r="M7" i="3"/>
  <c r="N7" i="3" s="1"/>
  <c r="O7" i="3" s="1"/>
  <c r="L10" i="3"/>
  <c r="K10" i="3"/>
  <c r="N6" i="3"/>
  <c r="O6" i="3" s="1"/>
  <c r="Z6" i="3" s="1"/>
  <c r="N9" i="3"/>
  <c r="O9" i="3" s="1"/>
  <c r="M10" i="3"/>
  <c r="N8" i="3"/>
  <c r="O8" i="3" s="1"/>
  <c r="N5" i="3"/>
  <c r="O5" i="3" s="1"/>
  <c r="W5" i="3" l="1"/>
  <c r="Z5" i="3"/>
  <c r="Q5" i="3"/>
  <c r="T5" i="3"/>
  <c r="W9" i="3"/>
  <c r="T9" i="3"/>
  <c r="Q9" i="3"/>
  <c r="T8" i="3"/>
  <c r="Q8" i="3"/>
  <c r="W8" i="3"/>
  <c r="Q7" i="3"/>
  <c r="T7" i="3"/>
  <c r="W7" i="3"/>
  <c r="Q6" i="3"/>
  <c r="W6" i="3"/>
  <c r="T6" i="3"/>
  <c r="P14" i="3"/>
  <c r="P20" i="3"/>
  <c r="P17" i="3"/>
  <c r="P10" i="3"/>
  <c r="O10" i="3"/>
  <c r="P19" i="3" l="1"/>
  <c r="P16" i="3"/>
  <c r="P13" i="3"/>
  <c r="Z10" i="3"/>
  <c r="W10" i="3"/>
  <c r="Q10" i="3"/>
  <c r="T10" i="3"/>
  <c r="AA9" i="3" l="1"/>
  <c r="AB9" i="3" s="1"/>
  <c r="X9" i="3"/>
  <c r="Y9" i="3" s="1"/>
  <c r="AA8" i="3"/>
  <c r="AB8" i="3" s="1"/>
  <c r="X8" i="3"/>
  <c r="Y8" i="3" s="1"/>
  <c r="AA7" i="3"/>
  <c r="AB7" i="3" s="1"/>
  <c r="X7" i="3"/>
  <c r="Y7" i="3" s="1"/>
  <c r="AA6" i="3"/>
  <c r="AB6" i="3" s="1"/>
  <c r="AA5" i="3"/>
  <c r="X6" i="3"/>
  <c r="Y6" i="3" s="1"/>
  <c r="X5" i="3"/>
  <c r="U9" i="3"/>
  <c r="V9" i="3" s="1"/>
  <c r="AC15" i="3"/>
  <c r="U7" i="3"/>
  <c r="V7" i="3" s="1"/>
  <c r="U8" i="3"/>
  <c r="V8" i="3" s="1"/>
  <c r="U6" i="3"/>
  <c r="V6" i="3" s="1"/>
  <c r="R7" i="3"/>
  <c r="S7" i="3" s="1"/>
  <c r="U5" i="3"/>
  <c r="R6" i="3"/>
  <c r="S6" i="3" s="1"/>
  <c r="R9" i="3"/>
  <c r="S9" i="3" s="1"/>
  <c r="R8" i="3"/>
  <c r="S8" i="3" s="1"/>
  <c r="R5" i="3"/>
  <c r="X10" i="3" l="1"/>
  <c r="Y10" i="3" s="1"/>
  <c r="AA10" i="3"/>
  <c r="AB10" i="3" s="1"/>
  <c r="AC7" i="3"/>
  <c r="AB5" i="3"/>
  <c r="Y5" i="3"/>
  <c r="AC9" i="3"/>
  <c r="AC6" i="3"/>
  <c r="AC8" i="3"/>
  <c r="U10" i="3"/>
  <c r="V10" i="3" s="1"/>
  <c r="V5" i="3"/>
  <c r="R10" i="3"/>
  <c r="S10" i="3" s="1"/>
  <c r="S5" i="3"/>
  <c r="AC5" i="3" l="1"/>
  <c r="AC10" i="3"/>
  <c r="AC12" i="3" s="1"/>
</calcChain>
</file>

<file path=xl/sharedStrings.xml><?xml version="1.0" encoding="utf-8"?>
<sst xmlns="http://schemas.openxmlformats.org/spreadsheetml/2006/main" count="50" uniqueCount="37">
  <si>
    <t>介護保険分</t>
    <rPh sb="0" eb="2">
      <t>かいご</t>
    </rPh>
    <rPh sb="2" eb="4">
      <t>ほけん</t>
    </rPh>
    <rPh sb="4" eb="5">
      <t>ぶん</t>
    </rPh>
    <phoneticPr fontId="1" type="Hiragana"/>
  </si>
  <si>
    <t>基礎控除</t>
    <rPh sb="0" eb="2">
      <t>きそ</t>
    </rPh>
    <rPh sb="2" eb="4">
      <t>こうじょ</t>
    </rPh>
    <phoneticPr fontId="1" type="Hiragana"/>
  </si>
  <si>
    <t>小計</t>
    <rPh sb="0" eb="2">
      <t>しょうけい</t>
    </rPh>
    <phoneticPr fontId="1" type="Hiragana"/>
  </si>
  <si>
    <t>所得割</t>
    <rPh sb="0" eb="2">
      <t>しょとく</t>
    </rPh>
    <rPh sb="2" eb="3">
      <t>わり</t>
    </rPh>
    <phoneticPr fontId="1" type="Hiragana"/>
  </si>
  <si>
    <t>均等割</t>
    <rPh sb="0" eb="2">
      <t>きんとう</t>
    </rPh>
    <rPh sb="2" eb="3">
      <t>わ</t>
    </rPh>
    <phoneticPr fontId="1" type="Hiragana"/>
  </si>
  <si>
    <t>合計</t>
    <rPh sb="0" eb="2">
      <t>ごうけい</t>
    </rPh>
    <phoneticPr fontId="1" type="Hiragana"/>
  </si>
  <si>
    <t>控除額</t>
    <rPh sb="0" eb="2">
      <t>こうじょ</t>
    </rPh>
    <rPh sb="2" eb="3">
      <t>がく</t>
    </rPh>
    <phoneticPr fontId="1" type="Hiragana"/>
  </si>
  <si>
    <t>軽減判定総所得</t>
    <rPh sb="0" eb="2">
      <t>けいげん</t>
    </rPh>
    <rPh sb="2" eb="4">
      <t>はんてい</t>
    </rPh>
    <rPh sb="4" eb="7">
      <t>そうしょとく</t>
    </rPh>
    <phoneticPr fontId="1" type="Hiragana"/>
  </si>
  <si>
    <t>医療分</t>
    <rPh sb="0" eb="2">
      <t>いりょう</t>
    </rPh>
    <rPh sb="2" eb="3">
      <t>ぶん</t>
    </rPh>
    <phoneticPr fontId="1" type="Hiragana"/>
  </si>
  <si>
    <t>課税標準所得額</t>
    <rPh sb="0" eb="2">
      <t>かぜい</t>
    </rPh>
    <rPh sb="2" eb="4">
      <t>ひょうじゅん</t>
    </rPh>
    <rPh sb="4" eb="6">
      <t>しょとく</t>
    </rPh>
    <rPh sb="6" eb="7">
      <t>がく</t>
    </rPh>
    <phoneticPr fontId="1" type="Hiragana"/>
  </si>
  <si>
    <t>年金所得
（軽減判定）</t>
    <rPh sb="0" eb="2">
      <t>ねんきん</t>
    </rPh>
    <rPh sb="2" eb="4">
      <t>しょとく</t>
    </rPh>
    <rPh sb="6" eb="8">
      <t>けいげん</t>
    </rPh>
    <rPh sb="8" eb="10">
      <t>はんてい</t>
    </rPh>
    <phoneticPr fontId="1" type="Hiragana"/>
  </si>
  <si>
    <t>給与</t>
    <rPh sb="0" eb="2">
      <t>きゅうよ</t>
    </rPh>
    <phoneticPr fontId="1" type="Hiragana"/>
  </si>
  <si>
    <t>合計所得</t>
    <rPh sb="0" eb="2">
      <t>ごうけい</t>
    </rPh>
    <rPh sb="2" eb="4">
      <t>しょとく</t>
    </rPh>
    <phoneticPr fontId="1" type="Hiragana"/>
  </si>
  <si>
    <t>低所得世帯に対する軽減：</t>
    <rPh sb="0" eb="3">
      <t>ていしょとく</t>
    </rPh>
    <rPh sb="3" eb="5">
      <t>せたい</t>
    </rPh>
    <rPh sb="6" eb="7">
      <t>たい</t>
    </rPh>
    <rPh sb="9" eb="11">
      <t>けいげん</t>
    </rPh>
    <phoneticPr fontId="1" type="Hiragana"/>
  </si>
  <si>
    <t>所得金額
調整控除</t>
    <rPh sb="0" eb="2">
      <t>しょとく</t>
    </rPh>
    <rPh sb="2" eb="4">
      <t>きんがく</t>
    </rPh>
    <rPh sb="5" eb="7">
      <t>ちょうせい</t>
    </rPh>
    <rPh sb="7" eb="9">
      <t>こうじょ</t>
    </rPh>
    <phoneticPr fontId="1" type="Hiragana"/>
  </si>
  <si>
    <t>２割軽減判定</t>
    <rPh sb="1" eb="2">
      <t>わ</t>
    </rPh>
    <rPh sb="2" eb="4">
      <t>けいげん</t>
    </rPh>
    <rPh sb="4" eb="6">
      <t>はんてい</t>
    </rPh>
    <phoneticPr fontId="1" type="Hiragana"/>
  </si>
  <si>
    <t>世帯員3</t>
    <rPh sb="0" eb="3">
      <t>せたいいん</t>
    </rPh>
    <phoneticPr fontId="1" type="Hiragana"/>
  </si>
  <si>
    <t>合計
(年額)</t>
    <rPh sb="0" eb="2">
      <t>ごうけい</t>
    </rPh>
    <rPh sb="4" eb="6">
      <t>ねんがく</t>
    </rPh>
    <phoneticPr fontId="1" type="Hiragana"/>
  </si>
  <si>
    <t>世帯員4</t>
    <rPh sb="0" eb="3">
      <t>せたいいん</t>
    </rPh>
    <phoneticPr fontId="1" type="Hiragana"/>
  </si>
  <si>
    <t>世帯員1</t>
    <rPh sb="0" eb="3">
      <t>せたいいん</t>
    </rPh>
    <phoneticPr fontId="1" type="Hiragana"/>
  </si>
  <si>
    <t>基準額</t>
    <rPh sb="0" eb="2">
      <t>きじゅん</t>
    </rPh>
    <rPh sb="2" eb="3">
      <t>がく</t>
    </rPh>
    <phoneticPr fontId="1" type="Hiragana"/>
  </si>
  <si>
    <t>世帯員2</t>
    <rPh sb="0" eb="3">
      <t>せたいいん</t>
    </rPh>
    <phoneticPr fontId="1" type="Hiragana"/>
  </si>
  <si>
    <t>7割軽減判定</t>
    <rPh sb="1" eb="2">
      <t>わ</t>
    </rPh>
    <rPh sb="2" eb="4">
      <t>けいげん</t>
    </rPh>
    <rPh sb="4" eb="6">
      <t>はんてい</t>
    </rPh>
    <phoneticPr fontId="1" type="Hiragana"/>
  </si>
  <si>
    <t>5割軽減判定</t>
    <rPh sb="1" eb="2">
      <t>わ</t>
    </rPh>
    <rPh sb="2" eb="4">
      <t>けいげん</t>
    </rPh>
    <rPh sb="4" eb="6">
      <t>はんてい</t>
    </rPh>
    <phoneticPr fontId="1" type="Hiragana"/>
  </si>
  <si>
    <t>収入</t>
    <rPh sb="0" eb="2">
      <t>しゅうにゅう</t>
    </rPh>
    <phoneticPr fontId="1" type="Hiragana"/>
  </si>
  <si>
    <t>【参考】月額（年額÷12）：</t>
    <rPh sb="1" eb="3">
      <t>さんこう</t>
    </rPh>
    <rPh sb="4" eb="6">
      <t>げつがく</t>
    </rPh>
    <rPh sb="7" eb="9">
      <t>ねんがく</t>
    </rPh>
    <phoneticPr fontId="1" type="Hiragana"/>
  </si>
  <si>
    <t>所得</t>
    <rPh sb="0" eb="2">
      <t>しょとく</t>
    </rPh>
    <phoneticPr fontId="1" type="Hiragana"/>
  </si>
  <si>
    <t>年金</t>
    <rPh sb="0" eb="2">
      <t>ねんきん</t>
    </rPh>
    <phoneticPr fontId="1" type="Hiragana"/>
  </si>
  <si>
    <t>年齢</t>
    <rPh sb="0" eb="2">
      <t>ねんれい</t>
    </rPh>
    <phoneticPr fontId="1" type="Hiragana"/>
  </si>
  <si>
    <t>令和8年度　鴻巣市国民健康保険税額　簡易試算表</t>
    <rPh sb="0" eb="2">
      <t>れいわ</t>
    </rPh>
    <rPh sb="3" eb="5">
      <t>ねんど</t>
    </rPh>
    <rPh sb="6" eb="9">
      <t>こうのすし</t>
    </rPh>
    <rPh sb="9" eb="11">
      <t>こくみん</t>
    </rPh>
    <rPh sb="11" eb="13">
      <t>けんこう</t>
    </rPh>
    <rPh sb="13" eb="15">
      <t>ほけん</t>
    </rPh>
    <rPh sb="15" eb="16">
      <t>ぜい</t>
    </rPh>
    <rPh sb="16" eb="17">
      <t>がく</t>
    </rPh>
    <rPh sb="18" eb="22">
      <t>かんいしさん</t>
    </rPh>
    <rPh sb="22" eb="23">
      <t>ひょう</t>
    </rPh>
    <phoneticPr fontId="1" type="Hiragana"/>
  </si>
  <si>
    <t>R8.1.1の年齢</t>
    <rPh sb="7" eb="9">
      <t>ねんれい</t>
    </rPh>
    <phoneticPr fontId="1" type="Hiragana"/>
  </si>
  <si>
    <t>子ども・子育て支援金分</t>
    <rPh sb="0" eb="1">
      <t>こ</t>
    </rPh>
    <rPh sb="4" eb="6">
      <t>こそだ</t>
    </rPh>
    <rPh sb="7" eb="10">
      <t>しえんきん</t>
    </rPh>
    <rPh sb="10" eb="11">
      <t>ぶん</t>
    </rPh>
    <phoneticPr fontId="1" type="Hiragana"/>
  </si>
  <si>
    <t>その他の
所得</t>
    <rPh sb="2" eb="3">
      <t>た</t>
    </rPh>
    <rPh sb="5" eb="7">
      <t>しょとく</t>
    </rPh>
    <phoneticPr fontId="1" type="Hiragana"/>
  </si>
  <si>
    <t>後期高齢者支援金分</t>
    <rPh sb="0" eb="2">
      <t>こうき</t>
    </rPh>
    <rPh sb="2" eb="5">
      <t>こうれいしゃ</t>
    </rPh>
    <rPh sb="5" eb="7">
      <t>しえん</t>
    </rPh>
    <rPh sb="7" eb="8">
      <t>きん</t>
    </rPh>
    <rPh sb="8" eb="9">
      <t>ぶん</t>
    </rPh>
    <phoneticPr fontId="1" type="Hiragana"/>
  </si>
  <si>
    <t>軽減判定
+10万円人数</t>
    <rPh sb="0" eb="2">
      <t>けいげん</t>
    </rPh>
    <rPh sb="2" eb="4">
      <t>はんてい</t>
    </rPh>
    <rPh sb="8" eb="9">
      <t>まん</t>
    </rPh>
    <rPh sb="9" eb="10">
      <t>えん</t>
    </rPh>
    <rPh sb="10" eb="12">
      <t>にんずう</t>
    </rPh>
    <phoneticPr fontId="1" type="Hiragana"/>
  </si>
  <si>
    <r>
      <t>世帯主</t>
    </r>
    <r>
      <rPr>
        <sz val="9"/>
        <color theme="1"/>
        <rFont val="游ゴシック"/>
        <family val="3"/>
        <charset val="128"/>
        <scheme val="minor"/>
      </rPr>
      <t>（加入しない場合）</t>
    </r>
    <rPh sb="0" eb="3">
      <t>せたいぬし</t>
    </rPh>
    <rPh sb="4" eb="6">
      <t>かにゅう</t>
    </rPh>
    <rPh sb="9" eb="11">
      <t>ばあい</t>
    </rPh>
    <phoneticPr fontId="1" type="Hiragana"/>
  </si>
  <si>
    <r>
      <t>世帯主</t>
    </r>
    <r>
      <rPr>
        <sz val="9"/>
        <color theme="1"/>
        <rFont val="游ゴシック"/>
        <family val="3"/>
        <charset val="128"/>
        <scheme val="minor"/>
      </rPr>
      <t>（加入する場合）</t>
    </r>
    <rPh sb="0" eb="3">
      <t>せたいぬし</t>
    </rPh>
    <rPh sb="4" eb="6">
      <t>かにゅう</t>
    </rPh>
    <rPh sb="8" eb="10">
      <t>ばあい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</si>
</sst>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人&quot;"/>
    <numFmt numFmtId="177" formatCode="#,##0&quot;円&quot;;[Red]\-#,##0"/>
  </numFmts>
  <fonts count="9" x14ac:knownFonts="1">
    <font>
      <sz val="11"/>
      <color theme="1"/>
      <name val="游ゴシック"/>
      <family val="3"/>
      <scheme val="minor"/>
    </font>
    <font>
      <sz val="6"/>
      <name val="游ゴシック"/>
      <family val="3"/>
    </font>
    <font>
      <sz val="11"/>
      <color theme="1"/>
      <name val="游ゴシック"/>
      <family val="3"/>
      <scheme val="minor"/>
    </font>
    <font>
      <sz val="10"/>
      <color theme="1"/>
      <name val="游ゴシック"/>
      <family val="3"/>
      <scheme val="minor"/>
    </font>
    <font>
      <b/>
      <sz val="11"/>
      <color theme="1"/>
      <name val="游ゴシック"/>
      <family val="3"/>
      <scheme val="minor"/>
    </font>
    <font>
      <b/>
      <sz val="11"/>
      <color theme="1"/>
      <name val="游ゴシック"/>
      <family val="3"/>
      <charset val="128"/>
      <scheme val="minor"/>
    </font>
    <font>
      <sz val="8"/>
      <color theme="1"/>
      <name val="游ゴシック"/>
      <family val="3"/>
      <scheme val="minor"/>
    </font>
    <font>
      <sz val="8"/>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medium">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diagonalUp="1">
      <left style="hair">
        <color indexed="64"/>
      </left>
      <right style="hair">
        <color indexed="64"/>
      </right>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0">
    <xf numFmtId="0" fontId="0" fillId="0" borderId="0" xfId="0">
      <alignment vertical="center"/>
    </xf>
    <xf numFmtId="0" fontId="0" fillId="2" borderId="7" xfId="0" applyFill="1" applyBorder="1" applyProtection="1">
      <alignment vertical="center"/>
      <protection locked="0"/>
    </xf>
    <xf numFmtId="176" fontId="0" fillId="0" borderId="9" xfId="0" applyNumberFormat="1" applyBorder="1">
      <alignment vertical="center"/>
    </xf>
    <xf numFmtId="38" fontId="0" fillId="2" borderId="10" xfId="1" applyFont="1" applyFill="1" applyBorder="1" applyProtection="1">
      <alignment vertical="center"/>
      <protection locked="0"/>
    </xf>
    <xf numFmtId="38" fontId="0" fillId="2" borderId="11" xfId="1" applyFont="1" applyFill="1" applyBorder="1" applyProtection="1">
      <alignment vertical="center"/>
      <protection locked="0"/>
    </xf>
    <xf numFmtId="38" fontId="0" fillId="0" borderId="12" xfId="1" applyFont="1" applyBorder="1">
      <alignment vertical="center"/>
    </xf>
    <xf numFmtId="38" fontId="0" fillId="0" borderId="14" xfId="1" applyFont="1" applyBorder="1" applyAlignment="1">
      <alignment vertical="center"/>
    </xf>
    <xf numFmtId="38" fontId="0" fillId="0" borderId="15" xfId="1" applyFont="1" applyBorder="1" applyAlignment="1">
      <alignment vertical="center"/>
    </xf>
    <xf numFmtId="38" fontId="0" fillId="0" borderId="6" xfId="1" applyFont="1" applyBorder="1" applyAlignment="1">
      <alignment vertical="center"/>
    </xf>
    <xf numFmtId="0" fontId="0" fillId="0" borderId="0" xfId="0" applyAlignment="1">
      <alignment vertical="center" wrapText="1"/>
    </xf>
    <xf numFmtId="0" fontId="0" fillId="2" borderId="10" xfId="0" applyFill="1" applyBorder="1" applyProtection="1">
      <alignment vertical="center"/>
      <protection locked="0"/>
    </xf>
    <xf numFmtId="176" fontId="0" fillId="0" borderId="18" xfId="0" applyNumberFormat="1" applyBorder="1">
      <alignment vertical="center"/>
    </xf>
    <xf numFmtId="38" fontId="0" fillId="2" borderId="20" xfId="1" applyFont="1" applyFill="1" applyBorder="1" applyAlignment="1" applyProtection="1">
      <alignment horizontal="right" vertical="center" wrapText="1"/>
      <protection locked="0"/>
    </xf>
    <xf numFmtId="38" fontId="0" fillId="2" borderId="21" xfId="1" applyFont="1" applyFill="1" applyBorder="1" applyAlignment="1" applyProtection="1">
      <alignment horizontal="right" vertical="center" wrapText="1"/>
      <protection locked="0"/>
    </xf>
    <xf numFmtId="38" fontId="0" fillId="0" borderId="22" xfId="1" applyFont="1" applyBorder="1" applyAlignment="1">
      <alignment horizontal="right" vertical="center" wrapText="1"/>
    </xf>
    <xf numFmtId="38" fontId="0" fillId="0" borderId="20" xfId="1" applyFont="1" applyBorder="1" applyAlignment="1">
      <alignment horizontal="right" vertical="center" wrapText="1"/>
    </xf>
    <xf numFmtId="38" fontId="0" fillId="0" borderId="21" xfId="1" applyFont="1" applyBorder="1" applyAlignment="1">
      <alignment horizontal="right" vertical="center" wrapText="1"/>
    </xf>
    <xf numFmtId="38" fontId="0" fillId="0" borderId="23" xfId="1" applyFont="1" applyBorder="1" applyAlignment="1">
      <alignment vertical="center"/>
    </xf>
    <xf numFmtId="38" fontId="0" fillId="0" borderId="14" xfId="1" applyFont="1" applyBorder="1" applyAlignment="1">
      <alignment horizontal="right" vertical="center" wrapText="1"/>
    </xf>
    <xf numFmtId="38" fontId="0" fillId="0" borderId="15" xfId="1" applyFont="1" applyBorder="1" applyAlignment="1">
      <alignment horizontal="right" vertical="center" wrapText="1"/>
    </xf>
    <xf numFmtId="38" fontId="0" fillId="0" borderId="6" xfId="1" applyFont="1" applyBorder="1" applyAlignment="1">
      <alignment horizontal="right" vertical="center" wrapText="1"/>
    </xf>
    <xf numFmtId="38" fontId="0" fillId="0" borderId="2" xfId="1" applyFont="1" applyBorder="1" applyAlignment="1">
      <alignment horizontal="right" vertical="center" wrapText="1"/>
    </xf>
    <xf numFmtId="38" fontId="0" fillId="0" borderId="3" xfId="1" applyFont="1" applyBorder="1" applyAlignment="1">
      <alignment horizontal="right" vertical="center" wrapText="1"/>
    </xf>
    <xf numFmtId="38" fontId="0" fillId="0" borderId="1" xfId="1" applyFont="1" applyBorder="1" applyAlignment="1">
      <alignment horizontal="right" vertical="center" wrapText="1"/>
    </xf>
    <xf numFmtId="38" fontId="0" fillId="0" borderId="2" xfId="1" applyFont="1" applyBorder="1" applyAlignment="1">
      <alignment vertical="center"/>
    </xf>
    <xf numFmtId="38" fontId="0" fillId="0" borderId="26" xfId="1" applyFont="1" applyBorder="1" applyAlignment="1">
      <alignment horizontal="right" vertical="center" wrapText="1"/>
    </xf>
    <xf numFmtId="38" fontId="0" fillId="0" borderId="27" xfId="1" applyFont="1" applyBorder="1">
      <alignment vertical="center"/>
    </xf>
    <xf numFmtId="38" fontId="0" fillId="0" borderId="2" xfId="1" applyFont="1" applyBorder="1">
      <alignment vertical="center"/>
    </xf>
    <xf numFmtId="38" fontId="0" fillId="0" borderId="3" xfId="1" applyFont="1" applyBorder="1">
      <alignment vertical="center"/>
    </xf>
    <xf numFmtId="38" fontId="0" fillId="0" borderId="28" xfId="1" applyFont="1" applyBorder="1">
      <alignment vertical="center"/>
    </xf>
    <xf numFmtId="38" fontId="0" fillId="0" borderId="16" xfId="1" applyFont="1" applyBorder="1">
      <alignment vertical="center"/>
    </xf>
    <xf numFmtId="38" fontId="0" fillId="0" borderId="29" xfId="1" applyFont="1" applyBorder="1">
      <alignment vertical="center"/>
    </xf>
    <xf numFmtId="38" fontId="0" fillId="0" borderId="30" xfId="1" applyFont="1" applyBorder="1">
      <alignmen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38" fontId="0" fillId="0" borderId="31" xfId="1" applyFont="1" applyBorder="1">
      <alignment vertical="center"/>
    </xf>
    <xf numFmtId="38" fontId="0" fillId="0" borderId="10" xfId="1" applyFont="1" applyBorder="1">
      <alignment vertical="center"/>
    </xf>
    <xf numFmtId="38" fontId="0" fillId="0" borderId="11" xfId="1" applyFont="1" applyBorder="1">
      <alignment vertical="center"/>
    </xf>
    <xf numFmtId="38" fontId="0" fillId="0" borderId="32" xfId="1" applyFont="1" applyBorder="1">
      <alignment vertical="center"/>
    </xf>
    <xf numFmtId="38" fontId="0" fillId="0" borderId="20" xfId="1" applyFont="1" applyBorder="1">
      <alignment vertical="center"/>
    </xf>
    <xf numFmtId="38" fontId="0" fillId="0" borderId="21" xfId="1" applyFont="1" applyBorder="1">
      <alignment vertical="center"/>
    </xf>
    <xf numFmtId="38" fontId="0" fillId="0" borderId="22" xfId="1" applyFont="1" applyBorder="1">
      <alignment vertical="center"/>
    </xf>
    <xf numFmtId="38" fontId="0" fillId="0" borderId="33" xfId="1" applyFont="1" applyBorder="1">
      <alignment vertical="center"/>
    </xf>
    <xf numFmtId="38" fontId="0" fillId="0" borderId="7" xfId="1" applyFont="1" applyBorder="1">
      <alignment vertical="center"/>
    </xf>
    <xf numFmtId="38" fontId="0" fillId="0" borderId="8" xfId="1" applyFont="1" applyBorder="1">
      <alignment vertical="center"/>
    </xf>
    <xf numFmtId="38" fontId="0" fillId="0" borderId="6" xfId="1" applyFont="1" applyBorder="1">
      <alignment vertical="center"/>
    </xf>
    <xf numFmtId="0" fontId="4" fillId="0" borderId="0" xfId="0" applyFont="1" applyAlignment="1">
      <alignment vertical="center" wrapText="1"/>
    </xf>
    <xf numFmtId="38" fontId="0" fillId="0" borderId="13" xfId="1" applyFont="1" applyBorder="1">
      <alignment vertical="center"/>
    </xf>
    <xf numFmtId="38" fontId="0" fillId="0" borderId="25" xfId="1" applyFont="1" applyBorder="1">
      <alignment vertical="center"/>
    </xf>
    <xf numFmtId="177" fontId="0" fillId="0" borderId="34" xfId="1" applyNumberFormat="1" applyFont="1" applyBorder="1">
      <alignment vertical="center"/>
    </xf>
    <xf numFmtId="177" fontId="0" fillId="0" borderId="1" xfId="1" applyNumberFormat="1" applyFont="1" applyBorder="1">
      <alignment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3" fillId="3" borderId="17" xfId="0" applyFont="1" applyFill="1" applyBorder="1" applyAlignment="1">
      <alignment horizontal="center" vertical="center" wrapText="1"/>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lignment vertical="center"/>
    </xf>
    <xf numFmtId="0" fontId="0" fillId="3" borderId="2" xfId="0" applyFill="1" applyBorder="1" applyAlignment="1">
      <alignment horizontal="left" vertical="center" indent="1"/>
    </xf>
    <xf numFmtId="0" fontId="0" fillId="3" borderId="3" xfId="0" applyFill="1" applyBorder="1" applyAlignment="1">
      <alignment horizontal="left" vertical="center" indent="1"/>
    </xf>
    <xf numFmtId="0" fontId="0" fillId="3" borderId="4" xfId="0" applyFill="1" applyBorder="1">
      <alignment vertical="center"/>
    </xf>
    <xf numFmtId="0" fontId="0" fillId="0" borderId="27" xfId="0" applyBorder="1" applyProtection="1">
      <alignment vertical="center"/>
      <protection locked="0"/>
    </xf>
    <xf numFmtId="38" fontId="0" fillId="2" borderId="2" xfId="1" applyFont="1" applyFill="1" applyBorder="1" applyAlignment="1" applyProtection="1">
      <alignment horizontal="right" vertical="center" wrapText="1"/>
      <protection locked="0"/>
    </xf>
    <xf numFmtId="38" fontId="0" fillId="2" borderId="3" xfId="1" applyFont="1" applyFill="1" applyBorder="1" applyAlignment="1" applyProtection="1">
      <alignment horizontal="right" vertical="center" wrapText="1"/>
      <protection locked="0"/>
    </xf>
    <xf numFmtId="0" fontId="0" fillId="0" borderId="1" xfId="0" applyBorder="1" applyAlignment="1">
      <alignment horizontal="right"/>
    </xf>
    <xf numFmtId="0" fontId="0" fillId="0" borderId="1" xfId="0" applyBorder="1" applyAlignment="1">
      <alignment horizontal="right" vertical="center"/>
    </xf>
    <xf numFmtId="0" fontId="0" fillId="0" borderId="1" xfId="0" applyBorder="1" applyAlignment="1">
      <alignment horizontal="right"/>
    </xf>
    <xf numFmtId="0" fontId="0" fillId="3" borderId="2"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xf>
    <xf numFmtId="0" fontId="0" fillId="3" borderId="25" xfId="0" applyFill="1" applyBorder="1" applyAlignment="1">
      <alignment horizontal="center" vertical="center" wrapText="1"/>
    </xf>
    <xf numFmtId="0" fontId="0" fillId="3" borderId="26" xfId="0" applyFill="1" applyBorder="1" applyAlignment="1">
      <alignment horizontal="center" vertical="center"/>
    </xf>
    <xf numFmtId="0" fontId="6" fillId="3" borderId="25" xfId="0" applyFont="1" applyFill="1" applyBorder="1" applyAlignment="1">
      <alignment horizontal="center" vertical="center" wrapText="1"/>
    </xf>
    <xf numFmtId="0" fontId="7" fillId="3" borderId="2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25" xfId="0" applyFill="1" applyBorder="1" applyAlignment="1">
      <alignment horizontal="center" vertical="center"/>
    </xf>
    <xf numFmtId="0" fontId="5" fillId="0" borderId="1" xfId="0" applyFont="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0" fillId="3" borderId="24"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208915</xdr:colOff>
      <xdr:row>10</xdr:row>
      <xdr:rowOff>220343</xdr:rowOff>
    </xdr:from>
    <xdr:to>
      <xdr:col>14</xdr:col>
      <xdr:colOff>504824</xdr:colOff>
      <xdr:row>32</xdr:row>
      <xdr:rowOff>180975</xdr:rowOff>
    </xdr:to>
    <xdr:sp macro="" textlink="">
      <xdr:nvSpPr>
        <xdr:cNvPr id="5" name="テキスト 3">
          <a:extLst>
            <a:ext uri="{FF2B5EF4-FFF2-40B4-BE49-F238E27FC236}">
              <a16:creationId xmlns:a16="http://schemas.microsoft.com/office/drawing/2014/main" id="{00000000-0008-0000-0000-000005000000}"/>
            </a:ext>
          </a:extLst>
        </xdr:cNvPr>
        <xdr:cNvSpPr txBox="1"/>
      </xdr:nvSpPr>
      <xdr:spPr>
        <a:xfrm>
          <a:off x="208915" y="2630168"/>
          <a:ext cx="7706359" cy="378015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000" b="1"/>
            <a:t>入力手順</a:t>
          </a:r>
          <a:r>
            <a:rPr kumimoji="1" lang="ja-JP" altLang="en-US" sz="900" b="0"/>
            <a:t>（黄色のセルに入力します）</a:t>
          </a:r>
          <a:endParaRPr kumimoji="1" lang="ja-JP" altLang="en-US" sz="900"/>
        </a:p>
        <a:p>
          <a:r>
            <a:rPr kumimoji="1" lang="ja-JP" altLang="en-US" sz="900"/>
            <a:t>１　世帯主の</a:t>
          </a:r>
          <a:r>
            <a:rPr kumimoji="1" lang="ja-JP" altLang="en-US" sz="900" u="sng"/>
            <a:t>令和</a:t>
          </a:r>
          <a:r>
            <a:rPr kumimoji="1" lang="en-US" altLang="ja-JP" sz="900" u="sng"/>
            <a:t>7</a:t>
          </a:r>
          <a:r>
            <a:rPr kumimoji="1" lang="ja-JP" altLang="en-US" sz="900" u="sng"/>
            <a:t>年1月～12月の</a:t>
          </a:r>
          <a:r>
            <a:rPr kumimoji="1" lang="ja-JP" altLang="en-US" sz="900"/>
            <a:t>給与収入と年金収入について、</a:t>
          </a:r>
          <a:r>
            <a:rPr kumimoji="1" lang="ja-JP" altLang="en-US" sz="900" b="1"/>
            <a:t>所得控除前の支払金額を入力</a:t>
          </a:r>
          <a:r>
            <a:rPr kumimoji="1" lang="ja-JP" altLang="en-US" sz="900"/>
            <a:t>してください。</a:t>
          </a:r>
          <a:endParaRPr kumimoji="1" lang="en-US" altLang="ja-JP" sz="900"/>
        </a:p>
        <a:p>
          <a:r>
            <a:rPr kumimoji="1" lang="ja-JP" altLang="en-US" sz="900"/>
            <a:t>　　年金収入のある方は令和</a:t>
          </a:r>
          <a:r>
            <a:rPr kumimoji="1" lang="en-US" altLang="ja-JP" sz="900"/>
            <a:t>8</a:t>
          </a:r>
          <a:r>
            <a:rPr kumimoji="1" lang="ja-JP" altLang="en-US" sz="900"/>
            <a:t>年1月1日時点の年齢を選択してください。</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chemeClr val="dk1"/>
              </a:solidFill>
              <a:effectLst/>
              <a:uLnTx/>
              <a:uFillTx/>
              <a:latin typeface="+mn-lt"/>
              <a:ea typeface="+mn-ea"/>
              <a:cs typeface="+mn-cs"/>
            </a:rPr>
            <a:t>　　</a:t>
          </a:r>
          <a:r>
            <a:rPr kumimoji="1" lang="ja-JP" altLang="en-US" sz="900" b="0" i="0" u="none" strike="noStrike" kern="0" cap="none" spc="0" normalizeH="0" baseline="0" noProof="0">
              <a:ln>
                <a:noFill/>
              </a:ln>
              <a:solidFill>
                <a:prstClr val="black"/>
              </a:solidFill>
              <a:effectLst/>
              <a:uLnTx/>
              <a:uFillTx/>
              <a:latin typeface="+mn-lt"/>
              <a:ea typeface="+mn-ea"/>
              <a:cs typeface="+mn-cs"/>
            </a:rPr>
            <a:t>世帯主が国保に加入しない場合</a:t>
          </a:r>
          <a:r>
            <a:rPr kumimoji="1" lang="ja-JP" altLang="en-US" sz="900" b="0" i="0" u="none" strike="noStrike" kern="0" cap="none" spc="0" normalizeH="0" baseline="3000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は上、加入する場合は下の行を選択してください。</a:t>
          </a: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n-lt"/>
              <a:ea typeface="+mn-ea"/>
              <a:cs typeface="+mn-cs"/>
            </a:rPr>
            <a:t>　　※世帯主が加入しない場合とは、世帯主が社会保険や後期高齢者等、別の健康保険制度に加入している場合です。</a:t>
          </a:r>
        </a:p>
        <a:p>
          <a:r>
            <a:rPr kumimoji="1" lang="ja-JP" altLang="en-US" sz="900"/>
            <a:t>２　給与、年金以外の所得（事業所得など）がある方は、「その他の所得」のセルに</a:t>
          </a:r>
          <a:r>
            <a:rPr kumimoji="1" lang="ja-JP" altLang="en-US" sz="900" b="1"/>
            <a:t>収入から経費を引いた所得額</a:t>
          </a:r>
          <a:r>
            <a:rPr kumimoji="1" lang="ja-JP" altLang="en-US" sz="900"/>
            <a:t>を直接入力してください。</a:t>
          </a:r>
          <a:endParaRPr kumimoji="1" lang="en-US" altLang="ja-JP" sz="900"/>
        </a:p>
        <a:p>
          <a:r>
            <a:rPr kumimoji="1" lang="ja-JP" altLang="en-US" sz="900"/>
            <a:t>　　国民健康保険税では、給与や年金所得のほか、山林所得、株式・土地・建物等の譲渡所得等も算定の対象になります。</a:t>
          </a:r>
        </a:p>
        <a:p>
          <a:r>
            <a:rPr kumimoji="1" lang="ja-JP" altLang="en-US" sz="900"/>
            <a:t>３　以下、国民健康保険に加入する世帯員について、年齢をリストから選択の上、同様に収入・所得を入力してください。</a:t>
          </a:r>
          <a:endParaRPr kumimoji="1" lang="en-US" altLang="ja-JP" sz="900"/>
        </a:p>
        <a:p>
          <a:endParaRPr kumimoji="1" lang="ja-JP" altLang="en-US" sz="900"/>
        </a:p>
        <a:p>
          <a:r>
            <a:rPr kumimoji="1" lang="ja-JP" altLang="en-US" sz="1000" b="1"/>
            <a:t>注意</a:t>
          </a:r>
          <a:endParaRPr kumimoji="1" lang="ja-JP" altLang="en-US" sz="900" b="1"/>
        </a:p>
        <a:p>
          <a:r>
            <a:rPr kumimoji="1" lang="ja-JP" altLang="en-US" sz="900"/>
            <a:t>・Exel2013以前のバージョンではご使用になれません。</a:t>
          </a:r>
        </a:p>
        <a:p>
          <a:r>
            <a:rPr kumimoji="1" lang="ja-JP" altLang="en-US" sz="900"/>
            <a:t>・軽減判定に影響するため、世帯主が国保に加入しない場合でも、（加入しない場合）の行へ必ず入力してください。</a:t>
          </a:r>
        </a:p>
        <a:p>
          <a:r>
            <a:rPr kumimoji="1" lang="ja-JP" altLang="en-US" sz="900"/>
            <a:t>・軽減判定は世帯主と国保加入者全員が、所得申告をしていることが前提となります。</a:t>
          </a:r>
          <a:endParaRPr kumimoji="1" lang="en-US" altLang="ja-JP" sz="900"/>
        </a:p>
        <a:p>
          <a:r>
            <a:rPr kumimoji="1" lang="ja-JP" altLang="en-US" sz="900"/>
            <a:t>・この試算表は、非自発的失業者、産前産後、旧被扶養者等の減額・減免制度には対応していません。また、給与・年金以外の所得入力欄を便宜上ひとつにまとめているため、土地・建物等の譲渡所得の特別控除がある場合や専従者控除がある場合、低所得世帯に対する軽減判定は正しく計算できません。</a:t>
          </a:r>
        </a:p>
        <a:p>
          <a:r>
            <a:rPr kumimoji="1" lang="ja-JP" altLang="en-US" sz="900"/>
            <a:t>・</a:t>
          </a:r>
          <a:r>
            <a:rPr kumimoji="1" lang="ja-JP" altLang="en-US" sz="900" b="1" u="sng"/>
            <a:t>あくまで目安としてご活用いただくことを想定した簡単な試算表であり、実際の決定額と異なる場合がありますので、ご了承の上ご使用ください。</a:t>
          </a:r>
        </a:p>
        <a:p>
          <a:endParaRPr kumimoji="1" lang="ja-JP" altLang="en-US" sz="900"/>
        </a:p>
        <a:p>
          <a:endParaRPr kumimoji="1" lang="ja-JP" altLang="en-US" sz="1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9"/>
  <sheetViews>
    <sheetView showGridLines="0" tabSelected="1" workbookViewId="0">
      <pane xSplit="2" ySplit="3" topLeftCell="C4" activePane="bottomRight" state="frozen"/>
      <selection pane="topRight"/>
      <selection pane="bottomLeft"/>
      <selection pane="bottomRight" activeCell="B5" sqref="B5"/>
    </sheetView>
  </sheetViews>
  <sheetFormatPr defaultRowHeight="18.75" x14ac:dyDescent="0.4"/>
  <cols>
    <col min="1" max="1" width="21.75" bestFit="1" customWidth="1"/>
    <col min="2" max="2" width="10" customWidth="1"/>
    <col min="3" max="4" width="10.875" customWidth="1"/>
    <col min="5" max="5" width="11.125" bestFit="1" customWidth="1"/>
    <col min="6" max="6" width="10.875" customWidth="1"/>
    <col min="7" max="7" width="10.875" hidden="1" customWidth="1"/>
    <col min="8" max="9" width="10.875" customWidth="1"/>
    <col min="10" max="10" width="13.25" hidden="1" customWidth="1"/>
    <col min="11" max="12" width="9.125" hidden="1" customWidth="1"/>
    <col min="13" max="13" width="11.125" hidden="1" customWidth="1"/>
    <col min="14" max="14" width="10.125" hidden="1" customWidth="1"/>
    <col min="15" max="15" width="15.25" bestFit="1" customWidth="1"/>
    <col min="16" max="16" width="15.25" hidden="1" customWidth="1"/>
    <col min="29" max="29" width="16.25" bestFit="1" customWidth="1"/>
  </cols>
  <sheetData>
    <row r="1" spans="1:29" x14ac:dyDescent="0.4">
      <c r="A1" s="76" t="s">
        <v>29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row>
    <row r="2" spans="1:29" x14ac:dyDescent="0.4">
      <c r="A2" s="67"/>
      <c r="B2" s="68" t="s">
        <v>28</v>
      </c>
      <c r="C2" s="67" t="s">
        <v>11</v>
      </c>
      <c r="D2" s="67"/>
      <c r="E2" s="77" t="s">
        <v>27</v>
      </c>
      <c r="F2" s="78"/>
      <c r="G2" s="78"/>
      <c r="H2" s="79"/>
      <c r="I2" s="70" t="s">
        <v>32</v>
      </c>
      <c r="J2" s="70" t="s">
        <v>10</v>
      </c>
      <c r="K2" s="72" t="s">
        <v>34</v>
      </c>
      <c r="L2" s="70" t="s">
        <v>14</v>
      </c>
      <c r="M2" s="75" t="s">
        <v>12</v>
      </c>
      <c r="N2" s="75" t="s">
        <v>1</v>
      </c>
      <c r="O2" s="75" t="s">
        <v>9</v>
      </c>
      <c r="P2" s="75" t="s">
        <v>7</v>
      </c>
      <c r="Q2" s="77" t="s">
        <v>8</v>
      </c>
      <c r="R2" s="78"/>
      <c r="S2" s="79"/>
      <c r="T2" s="77" t="s">
        <v>33</v>
      </c>
      <c r="U2" s="78"/>
      <c r="V2" s="79"/>
      <c r="W2" s="77" t="s">
        <v>0</v>
      </c>
      <c r="X2" s="78"/>
      <c r="Y2" s="79"/>
      <c r="Z2" s="77" t="s">
        <v>31</v>
      </c>
      <c r="AA2" s="78"/>
      <c r="AB2" s="79"/>
      <c r="AC2" s="70" t="s">
        <v>17</v>
      </c>
    </row>
    <row r="3" spans="1:29" x14ac:dyDescent="0.4">
      <c r="A3" s="67"/>
      <c r="B3" s="69"/>
      <c r="C3" s="51" t="s">
        <v>24</v>
      </c>
      <c r="D3" s="52" t="s">
        <v>26</v>
      </c>
      <c r="E3" s="53" t="s">
        <v>30</v>
      </c>
      <c r="F3" s="54" t="s">
        <v>24</v>
      </c>
      <c r="G3" s="55" t="s">
        <v>6</v>
      </c>
      <c r="H3" s="52" t="s">
        <v>26</v>
      </c>
      <c r="I3" s="71"/>
      <c r="J3" s="71"/>
      <c r="K3" s="73"/>
      <c r="L3" s="74"/>
      <c r="M3" s="71"/>
      <c r="N3" s="71"/>
      <c r="O3" s="71"/>
      <c r="P3" s="71"/>
      <c r="Q3" s="51" t="s">
        <v>3</v>
      </c>
      <c r="R3" s="54" t="s">
        <v>4</v>
      </c>
      <c r="S3" s="56" t="s">
        <v>2</v>
      </c>
      <c r="T3" s="51" t="s">
        <v>3</v>
      </c>
      <c r="U3" s="54" t="s">
        <v>4</v>
      </c>
      <c r="V3" s="56" t="s">
        <v>2</v>
      </c>
      <c r="W3" s="51" t="s">
        <v>3</v>
      </c>
      <c r="X3" s="54" t="s">
        <v>4</v>
      </c>
      <c r="Y3" s="56" t="s">
        <v>2</v>
      </c>
      <c r="Z3" s="51" t="s">
        <v>3</v>
      </c>
      <c r="AA3" s="54" t="s">
        <v>4</v>
      </c>
      <c r="AB3" s="56" t="s">
        <v>2</v>
      </c>
      <c r="AC3" s="71"/>
    </row>
    <row r="4" spans="1:29" x14ac:dyDescent="0.4">
      <c r="A4" s="57" t="s">
        <v>35</v>
      </c>
      <c r="B4" s="61"/>
      <c r="C4" s="3"/>
      <c r="D4" s="6">
        <f>_xlfn.IFS(C4&lt;=650999,0,AND(C4&gt;=651000,C4&lt;=1899999),C4-650000,AND(C4&gt;=1900000,C4&lt;=3599999),(ROUNDDOWN(C4/4,-3))*2.8-80000,AND(C4&gt;=3600000,C4&lt;=6599999),(ROUNDDOWN(C4/4,-3))*3.2-440000,AND(C4&gt;=6600000,C4&lt;=8499999),C4*0.9-1100000,C4&gt;=8500000,C4-1950000,C4="",0)</f>
        <v>0</v>
      </c>
      <c r="E4" s="10"/>
      <c r="F4" s="12"/>
      <c r="G4" s="15">
        <f t="shared" ref="G4:G9" si="0">IF(E4="65歳以上",IF(F4&lt;=3300000,1100000,IF(F4&lt;=4100000,F4*0.25+275000,IF(F4&lt;=7700000,F4*0.15+685000,IF(F4&lt;=10000000,F4*0.05+1455000,IF(F4&gt;=10000001,1955000))))),IF(F4&lt;=1300000,600000,IF(F4&lt;=4100000,F4*0.25+275000,IF(F4&lt;=7700000,F4*0.15+685000,IF(F4&lt;=10000000,F4*0.05+1455000,IF(F4&gt;=10000001,1955000))))))</f>
        <v>600000</v>
      </c>
      <c r="H4" s="18">
        <f t="shared" ref="H4:H9" si="1">IF(F4-G4&lt;1,0,F4-G4)</f>
        <v>0</v>
      </c>
      <c r="I4" s="62"/>
      <c r="J4" s="21">
        <f t="shared" ref="J4:J9" si="2">_xlfn.IFS(H4=0,0,E4="65歳未満",H4,E4="65歳以上",IF(H4&lt;=150000,0,H4-150000))</f>
        <v>0</v>
      </c>
      <c r="K4" s="24" t="str">
        <f>_xlfn.IFS(C4&gt;550000,1,H4&gt;=1,1,D4=0,"",H4=0,"")</f>
        <v/>
      </c>
      <c r="L4" s="24">
        <f t="shared" ref="L4:L9" si="3">_xlfn.IFS(AND(D4&gt;=100000,H4&gt;=100000),100000,AND(D4&gt;=100000,H4&lt;100000),H4,AND(D4&lt;100000,H4&gt;=100000),D4,AND(D4&lt;100000,H4&lt;100000),IF(D4+H4&gt;=100000,D4+H4-100000,0))</f>
        <v>0</v>
      </c>
      <c r="M4" s="21">
        <f>D4+H4-L4+I4</f>
        <v>0</v>
      </c>
      <c r="N4" s="26"/>
      <c r="O4" s="26"/>
      <c r="P4" s="30">
        <f>D4+I4+J4-L4</f>
        <v>0</v>
      </c>
      <c r="Q4" s="35"/>
      <c r="R4" s="38"/>
      <c r="S4" s="42"/>
      <c r="T4" s="35"/>
      <c r="U4" s="38"/>
      <c r="V4" s="42"/>
      <c r="W4" s="35"/>
      <c r="X4" s="38"/>
      <c r="Y4" s="42"/>
      <c r="Z4" s="35"/>
      <c r="AA4" s="38"/>
      <c r="AB4" s="42"/>
      <c r="AC4" s="26"/>
    </row>
    <row r="5" spans="1:29" x14ac:dyDescent="0.4">
      <c r="A5" s="57" t="s">
        <v>36</v>
      </c>
      <c r="B5" s="1"/>
      <c r="C5" s="3"/>
      <c r="D5" s="6">
        <f t="shared" ref="D5:D9" si="4">_xlfn.IFS(C5&lt;=650999,0,AND(C5&gt;=651000,C5&lt;=1899999),C5-650000,AND(C5&gt;=1900000,C5&lt;=3599999),(ROUNDDOWN(C5/4,-3))*2.8-80000,AND(C5&gt;=3600000,C5&lt;=6599999),(ROUNDDOWN(C5/4,-3))*3.2-440000,AND(C5&gt;=6600000,C5&lt;=8499999),C5*0.9-1100000,C5&gt;=8500000,C5-1950000,C5="",0)</f>
        <v>0</v>
      </c>
      <c r="E5" s="10"/>
      <c r="F5" s="12"/>
      <c r="G5" s="15">
        <f t="shared" si="0"/>
        <v>600000</v>
      </c>
      <c r="H5" s="18">
        <f t="shared" si="1"/>
        <v>0</v>
      </c>
      <c r="I5" s="62"/>
      <c r="J5" s="21">
        <f t="shared" si="2"/>
        <v>0</v>
      </c>
      <c r="K5" s="24" t="str">
        <f>_xlfn.IFS(C5&gt;550000,1,H5&gt;=1,1,D5=0,"",H5=0,"")</f>
        <v/>
      </c>
      <c r="L5" s="24">
        <f t="shared" si="3"/>
        <v>0</v>
      </c>
      <c r="M5" s="21">
        <f t="shared" ref="M5:M9" si="5">D5+H5-L5+I5</f>
        <v>0</v>
      </c>
      <c r="N5" s="27">
        <f>IF(M5&lt;=24000000,430000,IF(M5&lt;=24500000,290000,IF(M5&lt;=25000000,150000,0)))</f>
        <v>430000</v>
      </c>
      <c r="O5" s="30">
        <f>IF(M5-N5&lt;1,0,M5-N5)</f>
        <v>0</v>
      </c>
      <c r="P5" s="30">
        <f t="shared" ref="P5:P9" si="6">D5+I5+J5-L5</f>
        <v>0</v>
      </c>
      <c r="Q5" s="36">
        <f>O5*0.0758</f>
        <v>0</v>
      </c>
      <c r="R5" s="39">
        <f>_xlfn.IFS(B5="未就学児",IF($P$13="〇",21000*0.3,IF($P$16="〇",21000*0.5,IF($P$19="〇",21000*0.8,21000))),OR(B5="18歳以下",B5="19～39歳",B5="40～64歳",B5="65～74歳"),IF($P$13="〇",42000*0.3,IF($P$16="〇",42000*0.5,IF($P$19="〇",42000*0.8,42000))),B5="",0)</f>
        <v>0</v>
      </c>
      <c r="S5" s="43">
        <f>Q5+R5</f>
        <v>0</v>
      </c>
      <c r="T5" s="36">
        <f>O5*0.0276</f>
        <v>0</v>
      </c>
      <c r="U5" s="39">
        <f>_xlfn.IFS(B5="未就学児",IF($P$13="〇",8000*0.3,IF($P$16="〇",8000*0.5,IF($P$19="〇",8000*0.8,8000))),OR(B5="18歳以下",B5="19～39歳",B5="40～64歳",B5="65～74歳"),IF($P$13="〇",16000*0.3,IF($P$16="〇",16000*0.5,IF($P$19="〇",16000*0.8,16000))),B5="",0)</f>
        <v>0</v>
      </c>
      <c r="V5" s="43">
        <f>T5+U5</f>
        <v>0</v>
      </c>
      <c r="W5" s="36">
        <f>IF(B5="",0,IF(B5="40～64歳",O5*0.0241,0))</f>
        <v>0</v>
      </c>
      <c r="X5" s="39">
        <f>IF(B5="40～64歳",IF($P$13="〇",16000*0.3,IF($P$16="〇",16000*0.5,IF($P$19="〇",16000*0.8,16000))),0)</f>
        <v>0</v>
      </c>
      <c r="Y5" s="43">
        <f>W5+X5</f>
        <v>0</v>
      </c>
      <c r="Z5" s="36">
        <f>O5*0.0029</f>
        <v>0</v>
      </c>
      <c r="AA5" s="39">
        <f>IF(OR(B5="19～39歳", B5="40～64歳", B5="65～74歳"),IF($P$13="〇",1900*0.3,IF($P$16="〇",1900*0.5,IF($P$19="〇",1900*0.8,1900))),0)</f>
        <v>0</v>
      </c>
      <c r="AB5" s="43">
        <f>Z5+AA5</f>
        <v>0</v>
      </c>
      <c r="AC5" s="27">
        <f>S5+V5+Y5+AB5</f>
        <v>0</v>
      </c>
    </row>
    <row r="6" spans="1:29" x14ac:dyDescent="0.4">
      <c r="A6" s="58" t="s">
        <v>19</v>
      </c>
      <c r="B6" s="1"/>
      <c r="C6" s="3"/>
      <c r="D6" s="6">
        <f t="shared" si="4"/>
        <v>0</v>
      </c>
      <c r="E6" s="10"/>
      <c r="F6" s="12"/>
      <c r="G6" s="15">
        <f t="shared" si="0"/>
        <v>600000</v>
      </c>
      <c r="H6" s="18">
        <f t="shared" si="1"/>
        <v>0</v>
      </c>
      <c r="I6" s="62"/>
      <c r="J6" s="21">
        <f t="shared" si="2"/>
        <v>0</v>
      </c>
      <c r="K6" s="21" t="str">
        <f t="shared" ref="K6:K9" si="7">_xlfn.IFS(C6&gt;550000,1,H6&gt;=1,1,D6=0,"",H6=0,"")</f>
        <v/>
      </c>
      <c r="L6" s="21">
        <f t="shared" si="3"/>
        <v>0</v>
      </c>
      <c r="M6" s="21">
        <f t="shared" si="5"/>
        <v>0</v>
      </c>
      <c r="N6" s="27">
        <f>IF(M6&lt;=24000000,430000,IF(M6&lt;=24500000,290000,IF(M6&lt;=25000000,150000,0)))</f>
        <v>430000</v>
      </c>
      <c r="O6" s="30">
        <f>IF(M6-N6&lt;1,0,M6-N6)</f>
        <v>0</v>
      </c>
      <c r="P6" s="30">
        <f t="shared" si="6"/>
        <v>0</v>
      </c>
      <c r="Q6" s="36">
        <f t="shared" ref="Q6:Q9" si="8">O6*0.0758</f>
        <v>0</v>
      </c>
      <c r="R6" s="39">
        <f>_xlfn.IFS(B6="未就学児",IF($P$13="〇",21000*0.3,IF($P$16="〇",21000*0.5,IF($P$19="〇",21000*0.8,21000))),OR(B6="7～18歳",B6="19～39歳",B6="40～64歳",B6="65～74歳"),IF($P$13="〇",42000*0.3,IF($P$16="〇",42000*0.5,IF($P$19="〇",42000*0.8,42000))),B6="",0)</f>
        <v>0</v>
      </c>
      <c r="S6" s="43">
        <f>Q6+R6</f>
        <v>0</v>
      </c>
      <c r="T6" s="36">
        <f t="shared" ref="T6:T9" si="9">O6*0.0276</f>
        <v>0</v>
      </c>
      <c r="U6" s="39">
        <f>_xlfn.IFS(B6="未就学児",IF($P$13="〇",8000*0.3,IF($P$16="〇",8000*0.5,IF($P$19="〇",8000*0.8,8000))),OR(B6="7～18歳",B6="19～39歳",B6="40～64歳",B6="65～74歳"),IF($P$13="〇",16000*0.3,IF($P$16="〇",16000*0.5,IF($P$19="〇",16000*0.8,16000))),B6="",0)</f>
        <v>0</v>
      </c>
      <c r="V6" s="43">
        <f>T6+U6</f>
        <v>0</v>
      </c>
      <c r="W6" s="36">
        <f t="shared" ref="W6:W9" si="10">IF(B6="",0,IF(B6="40～64歳",O6*0.0241,0))</f>
        <v>0</v>
      </c>
      <c r="X6" s="39">
        <f t="shared" ref="X6:X9" si="11">IF(B6="40～64歳",IF($P$13="〇",16000*0.3,IF($P$16="〇",16000*0.5,IF($P$19="〇",16000*0.8,16000))),0)</f>
        <v>0</v>
      </c>
      <c r="Y6" s="43">
        <f>W6+X6</f>
        <v>0</v>
      </c>
      <c r="Z6" s="36">
        <f t="shared" ref="Z6:Z9" si="12">O6*0.0029</f>
        <v>0</v>
      </c>
      <c r="AA6" s="39">
        <f t="shared" ref="AA6:AA9" si="13">IF(OR(B6="19～39歳", B6="40～64歳", B6="65～74歳"),IF($P$13="〇",1900*0.3,IF($P$16="〇",1900*0.5,IF($P$19="〇",1900*0.8,1900))),0)</f>
        <v>0</v>
      </c>
      <c r="AB6" s="43">
        <f>Z6+AA6</f>
        <v>0</v>
      </c>
      <c r="AC6" s="27">
        <f t="shared" ref="AC6:AC9" si="14">S6+V6+Y6+AB6</f>
        <v>0</v>
      </c>
    </row>
    <row r="7" spans="1:29" x14ac:dyDescent="0.4">
      <c r="A7" s="58" t="s">
        <v>21</v>
      </c>
      <c r="B7" s="1"/>
      <c r="C7" s="3"/>
      <c r="D7" s="6">
        <f t="shared" si="4"/>
        <v>0</v>
      </c>
      <c r="E7" s="10"/>
      <c r="F7" s="12"/>
      <c r="G7" s="15">
        <f t="shared" si="0"/>
        <v>600000</v>
      </c>
      <c r="H7" s="18">
        <f t="shared" si="1"/>
        <v>0</v>
      </c>
      <c r="I7" s="62"/>
      <c r="J7" s="21">
        <f t="shared" si="2"/>
        <v>0</v>
      </c>
      <c r="K7" s="21" t="str">
        <f t="shared" si="7"/>
        <v/>
      </c>
      <c r="L7" s="21">
        <f t="shared" si="3"/>
        <v>0</v>
      </c>
      <c r="M7" s="21">
        <f t="shared" si="5"/>
        <v>0</v>
      </c>
      <c r="N7" s="27">
        <f>IF(M7&lt;=24000000,430000,IF(M7&lt;=24500000,290000,IF(M7&lt;=25000000,150000,0)))</f>
        <v>430000</v>
      </c>
      <c r="O7" s="30">
        <f>IF(M7-N7&lt;1,0,M7-N7)</f>
        <v>0</v>
      </c>
      <c r="P7" s="30">
        <f t="shared" si="6"/>
        <v>0</v>
      </c>
      <c r="Q7" s="36">
        <f t="shared" si="8"/>
        <v>0</v>
      </c>
      <c r="R7" s="39">
        <f t="shared" ref="R7:R9" si="15">_xlfn.IFS(B7="未就学児",IF($P$13="〇",21000*0.3,IF($P$16="〇",21000*0.5,IF($P$19="〇",21000*0.8,21000))),OR(B7="7～18歳",B7="19～39歳",B7="40～64歳",B7="65～74歳"),IF($P$13="〇",42000*0.3,IF($P$16="〇",42000*0.5,IF($P$19="〇",42000*0.8,42000))),B7="",0)</f>
        <v>0</v>
      </c>
      <c r="S7" s="43">
        <f>Q7+R7</f>
        <v>0</v>
      </c>
      <c r="T7" s="36">
        <f t="shared" si="9"/>
        <v>0</v>
      </c>
      <c r="U7" s="39">
        <f t="shared" ref="U7:U9" si="16">_xlfn.IFS(B7="未就学児",IF($P$13="〇",8000*0.3,IF($P$16="〇",8000*0.5,IF($P$19="〇",8000*0.8,8000))),OR(B7="7～18歳",B7="19～39歳",B7="40～64歳",B7="65～74歳"),IF($P$13="〇",16000*0.3,IF($P$16="〇",16000*0.5,IF($P$19="〇",16000*0.8,16000))),B7="",0)</f>
        <v>0</v>
      </c>
      <c r="V7" s="43">
        <f>T7+U7</f>
        <v>0</v>
      </c>
      <c r="W7" s="36">
        <f t="shared" si="10"/>
        <v>0</v>
      </c>
      <c r="X7" s="39">
        <f t="shared" si="11"/>
        <v>0</v>
      </c>
      <c r="Y7" s="43">
        <f>W7+X7</f>
        <v>0</v>
      </c>
      <c r="Z7" s="36">
        <f t="shared" si="12"/>
        <v>0</v>
      </c>
      <c r="AA7" s="39">
        <f t="shared" si="13"/>
        <v>0</v>
      </c>
      <c r="AB7" s="43">
        <f>Z7+AA7</f>
        <v>0</v>
      </c>
      <c r="AC7" s="27">
        <f t="shared" si="14"/>
        <v>0</v>
      </c>
    </row>
    <row r="8" spans="1:29" x14ac:dyDescent="0.4">
      <c r="A8" s="58" t="s">
        <v>16</v>
      </c>
      <c r="B8" s="1"/>
      <c r="C8" s="3"/>
      <c r="D8" s="6">
        <f t="shared" si="4"/>
        <v>0</v>
      </c>
      <c r="E8" s="10"/>
      <c r="F8" s="12"/>
      <c r="G8" s="15">
        <f t="shared" si="0"/>
        <v>600000</v>
      </c>
      <c r="H8" s="18">
        <f t="shared" si="1"/>
        <v>0</v>
      </c>
      <c r="I8" s="62"/>
      <c r="J8" s="21">
        <f t="shared" si="2"/>
        <v>0</v>
      </c>
      <c r="K8" s="21" t="str">
        <f t="shared" si="7"/>
        <v/>
      </c>
      <c r="L8" s="21">
        <f t="shared" si="3"/>
        <v>0</v>
      </c>
      <c r="M8" s="21">
        <f t="shared" si="5"/>
        <v>0</v>
      </c>
      <c r="N8" s="27">
        <f>IF(M8&lt;=24000000,430000,IF(M8&lt;=24500000,290000,IF(M8&lt;=25000000,150000,0)))</f>
        <v>430000</v>
      </c>
      <c r="O8" s="30">
        <f>IF(M8-N8&lt;1,0,M8-N8)</f>
        <v>0</v>
      </c>
      <c r="P8" s="30">
        <f t="shared" si="6"/>
        <v>0</v>
      </c>
      <c r="Q8" s="36">
        <f t="shared" si="8"/>
        <v>0</v>
      </c>
      <c r="R8" s="39">
        <f t="shared" si="15"/>
        <v>0</v>
      </c>
      <c r="S8" s="43">
        <f>Q8+R8</f>
        <v>0</v>
      </c>
      <c r="T8" s="36">
        <f t="shared" si="9"/>
        <v>0</v>
      </c>
      <c r="U8" s="39">
        <f t="shared" si="16"/>
        <v>0</v>
      </c>
      <c r="V8" s="43">
        <f>T8+U8</f>
        <v>0</v>
      </c>
      <c r="W8" s="36">
        <f t="shared" si="10"/>
        <v>0</v>
      </c>
      <c r="X8" s="39">
        <f t="shared" si="11"/>
        <v>0</v>
      </c>
      <c r="Y8" s="43">
        <f>W8+X8</f>
        <v>0</v>
      </c>
      <c r="Z8" s="36">
        <f t="shared" si="12"/>
        <v>0</v>
      </c>
      <c r="AA8" s="39">
        <f t="shared" si="13"/>
        <v>0</v>
      </c>
      <c r="AB8" s="43">
        <f>Z8+AA8</f>
        <v>0</v>
      </c>
      <c r="AC8" s="27">
        <f t="shared" si="14"/>
        <v>0</v>
      </c>
    </row>
    <row r="9" spans="1:29" ht="19.5" thickBot="1" x14ac:dyDescent="0.45">
      <c r="A9" s="59" t="s">
        <v>18</v>
      </c>
      <c r="B9" s="1"/>
      <c r="C9" s="4"/>
      <c r="D9" s="7">
        <f t="shared" si="4"/>
        <v>0</v>
      </c>
      <c r="E9" s="10"/>
      <c r="F9" s="13"/>
      <c r="G9" s="16">
        <f t="shared" si="0"/>
        <v>600000</v>
      </c>
      <c r="H9" s="19">
        <f t="shared" si="1"/>
        <v>0</v>
      </c>
      <c r="I9" s="63"/>
      <c r="J9" s="22">
        <f t="shared" si="2"/>
        <v>0</v>
      </c>
      <c r="K9" s="22" t="str">
        <f t="shared" si="7"/>
        <v/>
      </c>
      <c r="L9" s="22">
        <f t="shared" si="3"/>
        <v>0</v>
      </c>
      <c r="M9" s="22">
        <f t="shared" si="5"/>
        <v>0</v>
      </c>
      <c r="N9" s="28">
        <f>IF(M9&lt;=24000000,430000,IF(M9&lt;=24500000,290000,IF(M9&lt;=25000000,150000,0)))</f>
        <v>430000</v>
      </c>
      <c r="O9" s="31">
        <f>IF(M9-N9&lt;1,0,M9-N9)</f>
        <v>0</v>
      </c>
      <c r="P9" s="31">
        <f t="shared" si="6"/>
        <v>0</v>
      </c>
      <c r="Q9" s="37">
        <f t="shared" si="8"/>
        <v>0</v>
      </c>
      <c r="R9" s="40">
        <f t="shared" si="15"/>
        <v>0</v>
      </c>
      <c r="S9" s="44">
        <f>Q9+R9</f>
        <v>0</v>
      </c>
      <c r="T9" s="37">
        <f t="shared" si="9"/>
        <v>0</v>
      </c>
      <c r="U9" s="40">
        <f t="shared" si="16"/>
        <v>0</v>
      </c>
      <c r="V9" s="44">
        <f>T9+U9</f>
        <v>0</v>
      </c>
      <c r="W9" s="37">
        <f t="shared" si="10"/>
        <v>0</v>
      </c>
      <c r="X9" s="40">
        <f t="shared" si="11"/>
        <v>0</v>
      </c>
      <c r="Y9" s="44">
        <f>W9+X9</f>
        <v>0</v>
      </c>
      <c r="Z9" s="37">
        <f t="shared" si="12"/>
        <v>0</v>
      </c>
      <c r="AA9" s="40">
        <f t="shared" si="13"/>
        <v>0</v>
      </c>
      <c r="AB9" s="44">
        <f>Z9+AA9</f>
        <v>0</v>
      </c>
      <c r="AC9" s="48">
        <f t="shared" si="14"/>
        <v>0</v>
      </c>
    </row>
    <row r="10" spans="1:29" ht="20.25" thickTop="1" thickBot="1" x14ac:dyDescent="0.45">
      <c r="A10" s="60" t="s">
        <v>5</v>
      </c>
      <c r="B10" s="2">
        <f>COUNTA(B5:B9)</f>
        <v>0</v>
      </c>
      <c r="C10" s="5">
        <f>SUM(C4:C9)</f>
        <v>0</v>
      </c>
      <c r="D10" s="8">
        <f>SUM(D4:D9)</f>
        <v>0</v>
      </c>
      <c r="E10" s="11"/>
      <c r="F10" s="14">
        <f>SUM(F4:F9)</f>
        <v>0</v>
      </c>
      <c r="G10" s="17"/>
      <c r="H10" s="20">
        <f>SUM(H4:H9)</f>
        <v>0</v>
      </c>
      <c r="I10" s="23"/>
      <c r="J10" s="23"/>
      <c r="K10" s="25">
        <f>SUM(K4:K9)</f>
        <v>0</v>
      </c>
      <c r="L10" s="25">
        <f>SUM(L4:L9)</f>
        <v>0</v>
      </c>
      <c r="M10" s="25">
        <f>SUM(M4:M9)</f>
        <v>0</v>
      </c>
      <c r="N10" s="29"/>
      <c r="O10" s="32">
        <f>SUM(O4:O9)</f>
        <v>0</v>
      </c>
      <c r="P10" s="32">
        <f>SUM(P4:P9)</f>
        <v>0</v>
      </c>
      <c r="Q10" s="5">
        <f>SUM(Q4:Q9)</f>
        <v>0</v>
      </c>
      <c r="R10" s="41">
        <f>SUM(R4:R9)</f>
        <v>0</v>
      </c>
      <c r="S10" s="45">
        <f>_xlfn.IFS(Q10+R10&gt;=670000,670000,Q10+R10&lt;670000,ROUNDDOWN(Q10+R10,-2))</f>
        <v>0</v>
      </c>
      <c r="T10" s="5">
        <f>SUM(T4:T9)</f>
        <v>0</v>
      </c>
      <c r="U10" s="41">
        <f>SUM(U4:U9)</f>
        <v>0</v>
      </c>
      <c r="V10" s="45">
        <f>_xlfn.IFS(T10+U10&gt;=260000,260000,T10+U10&lt;260000,ROUNDDOWN(T10+U10,-2))</f>
        <v>0</v>
      </c>
      <c r="W10" s="5">
        <f>SUM(W4:W9)</f>
        <v>0</v>
      </c>
      <c r="X10" s="41">
        <f>SUM(X4:X9)</f>
        <v>0</v>
      </c>
      <c r="Y10" s="47">
        <f>_xlfn.IFS(W10+X10&gt;=170000,170000,W10+X10&lt;170000,ROUNDDOWN(W10+X10,-2))</f>
        <v>0</v>
      </c>
      <c r="Z10" s="5">
        <f>SUM(Z4:Z9)</f>
        <v>0</v>
      </c>
      <c r="AA10" s="41">
        <f>SUM(AA4:AA9)</f>
        <v>0</v>
      </c>
      <c r="AB10" s="47">
        <f>_xlfn.IFS(Z10+AA10&gt;30000,30000,Z10+AA10&lt;30000,ROUNDDOWN(Z10+AA10,-2))</f>
        <v>0</v>
      </c>
      <c r="AC10" s="49">
        <f>S10+V10+Y10+AB10</f>
        <v>0</v>
      </c>
    </row>
    <row r="11" spans="1:29" ht="19.5" thickTop="1" x14ac:dyDescent="0.4"/>
    <row r="12" spans="1:29" x14ac:dyDescent="0.4">
      <c r="D12" s="9"/>
      <c r="F12" s="9"/>
      <c r="Z12" s="65" t="s">
        <v>25</v>
      </c>
      <c r="AA12" s="65"/>
      <c r="AB12" s="65"/>
      <c r="AC12" s="50">
        <f>AC10/12</f>
        <v>0</v>
      </c>
    </row>
    <row r="13" spans="1:29" hidden="1" x14ac:dyDescent="0.4">
      <c r="D13" s="9"/>
      <c r="F13" s="9"/>
      <c r="O13" s="33" t="s">
        <v>22</v>
      </c>
      <c r="P13" s="34" t="str">
        <f>IF(AND(C4="",F4="",C5="",F5="",I4="",I5=""),"×",IF(P10&lt;P14,"〇","×"))</f>
        <v>×</v>
      </c>
    </row>
    <row r="14" spans="1:29" hidden="1" x14ac:dyDescent="0.4">
      <c r="D14" s="9"/>
      <c r="F14" s="9"/>
      <c r="O14" s="33" t="s">
        <v>20</v>
      </c>
      <c r="P14" s="27">
        <f>IF(K10=0,430000,430000+100000*(K10-1))</f>
        <v>430000</v>
      </c>
    </row>
    <row r="15" spans="1:29" x14ac:dyDescent="0.4">
      <c r="D15" s="9"/>
      <c r="F15" s="9"/>
      <c r="Z15" s="66" t="s">
        <v>13</v>
      </c>
      <c r="AA15" s="66"/>
      <c r="AB15" s="66"/>
      <c r="AC15" s="64" t="str">
        <f>IF(P13="〇","7割軽減該当",IF(P16="〇","5割軽減該当",IF(P19="〇","2割軽減該当","非該当")))</f>
        <v>非該当</v>
      </c>
    </row>
    <row r="16" spans="1:29" hidden="1" x14ac:dyDescent="0.4">
      <c r="D16" s="9"/>
      <c r="F16" s="9"/>
      <c r="O16" s="33" t="s">
        <v>23</v>
      </c>
      <c r="P16" s="34" t="str">
        <f>IF(AND(C4="",F4="",C5="",F5="",I4="",I5=""),"×",IF(P10&lt;P17,"〇","×"))</f>
        <v>×</v>
      </c>
    </row>
    <row r="17" spans="4:21" hidden="1" x14ac:dyDescent="0.4">
      <c r="D17" s="9"/>
      <c r="F17" s="9"/>
      <c r="O17" s="33" t="s">
        <v>20</v>
      </c>
      <c r="P17" s="27">
        <f>IF(K10=0,430000+310000*$B$10,430000+310000*$B$10+100000*(K10-1))</f>
        <v>430000</v>
      </c>
    </row>
    <row r="18" spans="4:21" x14ac:dyDescent="0.4">
      <c r="D18" s="9"/>
      <c r="F18" s="9"/>
    </row>
    <row r="19" spans="4:21" hidden="1" x14ac:dyDescent="0.4">
      <c r="O19" s="33" t="s">
        <v>15</v>
      </c>
      <c r="P19" s="34" t="str">
        <f>IF(AND(C4="",F4="",C5="",F5="",I4="",I5=""),"×",IF(P10&lt;P20,"〇","×"))</f>
        <v>×</v>
      </c>
    </row>
    <row r="20" spans="4:21" hidden="1" x14ac:dyDescent="0.4">
      <c r="O20" s="33" t="s">
        <v>20</v>
      </c>
      <c r="P20" s="27">
        <f>IF(K10=0,430000+570000*$B$10,430000+570000*$B$10+100000*(K10-1))</f>
        <v>430000</v>
      </c>
    </row>
    <row r="24" spans="4:21" x14ac:dyDescent="0.4">
      <c r="U24" s="46"/>
    </row>
    <row r="29" spans="4:21" x14ac:dyDescent="0.4">
      <c r="U29" s="46"/>
    </row>
  </sheetData>
  <sheetProtection algorithmName="SHA-512" hashValue="T39VHy/r9TMAFHglYc3DQsCueDYgmntd2LrEC5e64IC6pmr4JzhqjdGjoogFZA7sqar+ZPgTZJBPc5Ys5vKUjQ==" saltValue="ZAZFpANzKtKib5S/gxQYng==" spinCount="100000" sheet="1" selectLockedCells="1"/>
  <mergeCells count="20">
    <mergeCell ref="A1:AC1"/>
    <mergeCell ref="C2:D2"/>
    <mergeCell ref="E2:H2"/>
    <mergeCell ref="Q2:S2"/>
    <mergeCell ref="T2:V2"/>
    <mergeCell ref="W2:Y2"/>
    <mergeCell ref="AC2:AC3"/>
    <mergeCell ref="Z2:AB2"/>
    <mergeCell ref="Z12:AB12"/>
    <mergeCell ref="Z15:AB15"/>
    <mergeCell ref="A2:A3"/>
    <mergeCell ref="B2:B3"/>
    <mergeCell ref="J2:J3"/>
    <mergeCell ref="K2:K3"/>
    <mergeCell ref="L2:L3"/>
    <mergeCell ref="M2:M3"/>
    <mergeCell ref="N2:N3"/>
    <mergeCell ref="O2:O3"/>
    <mergeCell ref="P2:P3"/>
    <mergeCell ref="I2:I3"/>
  </mergeCells>
  <phoneticPr fontId="1" type="Hiragana"/>
  <dataValidations count="5">
    <dataValidation type="list" allowBlank="1" showInputMessage="1" showErrorMessage="1" sqref="B5" xr:uid="{00000000-0002-0000-0000-000002000000}">
      <formula1>"18歳以下,19～39歳,40～64歳,65～74歳"</formula1>
    </dataValidation>
    <dataValidation type="list" allowBlank="1" showInputMessage="1" showErrorMessage="1" sqref="E4:E9" xr:uid="{00000000-0002-0000-0000-000003000000}">
      <formula1>"65歳未満,65歳以上"</formula1>
    </dataValidation>
    <dataValidation imeMode="halfAlpha" allowBlank="1" showInputMessage="1" showErrorMessage="1" sqref="F4:F9" xr:uid="{00000000-0002-0000-0000-000004000000}"/>
    <dataValidation imeMode="off" allowBlank="1" showInputMessage="1" showErrorMessage="1" sqref="C4:C9" xr:uid="{00000000-0002-0000-0000-000005000000}"/>
    <dataValidation type="list" allowBlank="1" showInputMessage="1" showErrorMessage="1" sqref="B6:B9" xr:uid="{29EB2E01-2594-479E-BC9F-5F3F477FB1FB}">
      <formula1>"未就学児,7～18歳,19～39歳,40～64歳,65～74歳"</formula1>
    </dataValidation>
  </dataValidations>
  <pageMargins left="0.7" right="0.21" top="0.75" bottom="0.75" header="0.3" footer="0.3"/>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簡易試算ツール</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2026-01-08T07:06:59Z</dcterms:created>
  <dcterms:modified xsi:type="dcterms:W3CDTF">2026-03-25T00:41:29Z</dcterms:modified>
</cp:coreProperties>
</file>