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上下水道部\経営業務課\継続\水道料金改定\12 改定周知\21 早見表\"/>
    </mc:Choice>
  </mc:AlternateContent>
  <bookViews>
    <workbookView xWindow="-120" yWindow="-120" windowWidth="29040" windowHeight="15720" firstSheet="1" activeTab="1"/>
  </bookViews>
  <sheets>
    <sheet name="料金計算（現行）" sheetId="1" state="hidden" r:id="rId1"/>
    <sheet name="料金計算（R8.4.1改定）" sheetId="5" r:id="rId2"/>
  </sheets>
  <definedNames>
    <definedName name="_xlnm.Print_Area" localSheetId="1">'料金計算（R8.4.1改定）'!$A$1:$M$18</definedName>
    <definedName name="口径" localSheetId="1">'料金計算（R8.4.1改定）'!$D$10</definedName>
    <definedName name="口径">'料金計算（現行）'!$B$1</definedName>
    <definedName name="使用水量" localSheetId="1">'料金計算（R8.4.1改定）'!$D$11</definedName>
    <definedName name="使用水量">'料金計算（現行）'!$B$4</definedName>
    <definedName name="世帯数" localSheetId="1">'料金計算（R8.4.1改定）'!#REF!</definedName>
    <definedName name="世帯数">'料金計算（現行）'!$B$3</definedName>
    <definedName name="用途" localSheetId="1">'料金計算（R8.4.1改定）'!#REF!</definedName>
    <definedName name="用途">'料金計算（現行）'!$B$2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5" l="1"/>
  <c r="P14" i="5"/>
  <c r="P13" i="5"/>
  <c r="P12" i="5"/>
  <c r="P11" i="5"/>
  <c r="P8" i="5"/>
  <c r="Q15" i="5" l="1"/>
  <c r="Q14" i="5"/>
  <c r="Q13" i="5"/>
  <c r="Q12" i="5"/>
  <c r="Q11" i="5"/>
  <c r="R15" i="5"/>
  <c r="R14" i="5"/>
  <c r="R13" i="5"/>
  <c r="R12" i="5"/>
  <c r="R11" i="5"/>
  <c r="R16" i="5" l="1"/>
  <c r="Q16" i="5"/>
  <c r="Q8" i="5"/>
  <c r="P16" i="5" l="1"/>
  <c r="D14" i="5" s="1"/>
  <c r="G10" i="1"/>
  <c r="F10" i="1"/>
  <c r="E10" i="1"/>
  <c r="G9" i="1"/>
  <c r="F9" i="1"/>
  <c r="E9" i="1"/>
  <c r="G8" i="1"/>
  <c r="F8" i="1"/>
  <c r="E8" i="1"/>
  <c r="G7" i="1"/>
  <c r="F7" i="1"/>
  <c r="E7" i="1"/>
  <c r="G6" i="1"/>
  <c r="G11" i="1" s="1"/>
  <c r="F6" i="1"/>
  <c r="E6" i="1"/>
  <c r="F3" i="1"/>
  <c r="E3" i="1"/>
  <c r="E11" i="1" l="1"/>
  <c r="F11" i="1"/>
  <c r="B7" i="1" s="1"/>
</calcChain>
</file>

<file path=xl/sharedStrings.xml><?xml version="1.0" encoding="utf-8"?>
<sst xmlns="http://schemas.openxmlformats.org/spreadsheetml/2006/main" count="47" uniqueCount="29">
  <si>
    <t>使用水量</t>
    <rPh sb="0" eb="2">
      <t>シヨウ</t>
    </rPh>
    <rPh sb="2" eb="4">
      <t>スイリョウ</t>
    </rPh>
    <phoneticPr fontId="1"/>
  </si>
  <si>
    <t>単価</t>
    <rPh sb="0" eb="2">
      <t>タンカ</t>
    </rPh>
    <phoneticPr fontId="1"/>
  </si>
  <si>
    <t>用途</t>
    <rPh sb="0" eb="2">
      <t>ヨウト</t>
    </rPh>
    <phoneticPr fontId="1"/>
  </si>
  <si>
    <t>世帯数</t>
    <rPh sb="0" eb="3">
      <t>セタイスウ</t>
    </rPh>
    <phoneticPr fontId="1"/>
  </si>
  <si>
    <t>基本料</t>
    <rPh sb="0" eb="3">
      <t>キホンリョウ</t>
    </rPh>
    <phoneticPr fontId="1"/>
  </si>
  <si>
    <t>料金</t>
    <rPh sb="0" eb="2">
      <t>リョウキン</t>
    </rPh>
    <phoneticPr fontId="1"/>
  </si>
  <si>
    <t>口径</t>
    <rPh sb="0" eb="2">
      <t>コウケイ</t>
    </rPh>
    <phoneticPr fontId="1"/>
  </si>
  <si>
    <t>一般用</t>
    <rPh sb="0" eb="3">
      <t>イッパンヨウ</t>
    </rPh>
    <phoneticPr fontId="1"/>
  </si>
  <si>
    <t>共用用</t>
    <rPh sb="0" eb="2">
      <t>キョウヨウ</t>
    </rPh>
    <rPh sb="2" eb="3">
      <t>ヨウ</t>
    </rPh>
    <phoneticPr fontId="1"/>
  </si>
  <si>
    <t>～20㎥</t>
  </si>
  <si>
    <t>～30㎥</t>
  </si>
  <si>
    <t>～40㎥</t>
  </si>
  <si>
    <t>101㎥～</t>
  </si>
  <si>
    <t>～100㎥</t>
  </si>
  <si>
    <t>～20ｍｍ</t>
  </si>
  <si>
    <t>25mm～</t>
  </si>
  <si>
    <t>水道料金（２か月分）</t>
    <rPh sb="0" eb="4">
      <t>スイドウリョウキン</t>
    </rPh>
    <rPh sb="7" eb="9">
      <t>ゲツブン</t>
    </rPh>
    <phoneticPr fontId="2"/>
  </si>
  <si>
    <t>新料金計算シミュレーション</t>
    <rPh sb="0" eb="3">
      <t>シンリョウキン</t>
    </rPh>
    <rPh sb="3" eb="5">
      <t>ケイサン</t>
    </rPh>
    <phoneticPr fontId="2"/>
  </si>
  <si>
    <t>料金改定時期：水道　令和８年４月１日</t>
    <rPh sb="0" eb="2">
      <t>リョウキン</t>
    </rPh>
    <rPh sb="2" eb="4">
      <t>カイテイ</t>
    </rPh>
    <rPh sb="4" eb="6">
      <t>ジキ</t>
    </rPh>
    <rPh sb="7" eb="9">
      <t>スイドウ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</si>
  <si>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>お持ちの検針票をご用意ください。</t>
    <rPh sb="1" eb="2">
      <t>モ</t>
    </rPh>
    <rPh sb="4" eb="7">
      <t>ケンシンヒョウ</t>
    </rPh>
    <rPh sb="9" eb="11">
      <t>ヨウイ</t>
    </rPh>
    <phoneticPr fontId="2"/>
  </si>
  <si>
    <t>に検針票の数値を入力すると料金計算ができます。</t>
    <rPh sb="1" eb="4">
      <t>ケンシンヒョウ</t>
    </rPh>
    <rPh sb="5" eb="7">
      <t>スウチ</t>
    </rPh>
    <rPh sb="8" eb="10">
      <t>ニュウリョク</t>
    </rPh>
    <rPh sb="13" eb="17">
      <t>リョウキンケイサン</t>
    </rPh>
    <phoneticPr fontId="2"/>
  </si>
  <si>
    <t>①口径を選択してください。</t>
    <rPh sb="1" eb="3">
      <t>コウケイ</t>
    </rPh>
    <rPh sb="4" eb="6">
      <t>センタク</t>
    </rPh>
    <phoneticPr fontId="2"/>
  </si>
  <si>
    <t>②水道使用量を入力してください。</t>
    <rPh sb="1" eb="3">
      <t>スイドウ</t>
    </rPh>
    <rPh sb="3" eb="6">
      <t>シヨウリョウ</t>
    </rPh>
    <rPh sb="7" eb="9">
      <t>ニュウリョク</t>
    </rPh>
    <phoneticPr fontId="2"/>
  </si>
  <si>
    <t>mm</t>
    <phoneticPr fontId="2"/>
  </si>
  <si>
    <t>㎥</t>
    <phoneticPr fontId="2"/>
  </si>
  <si>
    <t>円（消費税込み）</t>
    <rPh sb="0" eb="1">
      <t>エン</t>
    </rPh>
    <rPh sb="2" eb="5">
      <t>ショウヒゼイ</t>
    </rPh>
    <rPh sb="5" eb="6">
      <t>コ</t>
    </rPh>
    <phoneticPr fontId="2"/>
  </si>
  <si>
    <t>２か月分の料金</t>
    <rPh sb="2" eb="4">
      <t>ゲツブン</t>
    </rPh>
    <rPh sb="5" eb="7">
      <t>リョウキン</t>
    </rPh>
    <phoneticPr fontId="2"/>
  </si>
  <si>
    <t>※１　本内容は試算額であって、実際の請求額ではありません。</t>
    <rPh sb="3" eb="6">
      <t>ホンナイヨウ</t>
    </rPh>
    <rPh sb="7" eb="9">
      <t>シサン</t>
    </rPh>
    <rPh sb="9" eb="10">
      <t>ガク</t>
    </rPh>
    <rPh sb="15" eb="17">
      <t>ジッサイ</t>
    </rPh>
    <rPh sb="18" eb="21">
      <t>セイキュウガク</t>
    </rPh>
    <phoneticPr fontId="2"/>
  </si>
  <si>
    <t>※２　公共下水道又は農業集落排水処理施設を利用されている場合は、水道料金の請求に加算されます。</t>
    <rPh sb="3" eb="5">
      <t>コウキョウ</t>
    </rPh>
    <rPh sb="5" eb="8">
      <t>ゲスイドウ</t>
    </rPh>
    <rPh sb="8" eb="9">
      <t>マタ</t>
    </rPh>
    <rPh sb="10" eb="12">
      <t>ノウギョウ</t>
    </rPh>
    <rPh sb="12" eb="14">
      <t>シュウラク</t>
    </rPh>
    <rPh sb="14" eb="16">
      <t>ハイスイ</t>
    </rPh>
    <rPh sb="16" eb="20">
      <t>ショリシセツ</t>
    </rPh>
    <rPh sb="21" eb="23">
      <t>リヨウ</t>
    </rPh>
    <rPh sb="28" eb="30">
      <t>バアイ</t>
    </rPh>
    <rPh sb="32" eb="36">
      <t>スイドウリョウキン</t>
    </rPh>
    <rPh sb="37" eb="39">
      <t>セイキュウ</t>
    </rPh>
    <rPh sb="40" eb="42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</si>
</sst>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</font>
    <font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u/>
      <sz val="14"/>
      <color theme="1"/>
      <name val="Yu Gothic UI"/>
      <family val="3"/>
      <charset val="128"/>
    </font>
    <font>
      <b/>
      <sz val="28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38" fontId="5" fillId="0" borderId="0" xfId="1" applyFont="1" applyFill="1">
      <alignment vertical="center"/>
    </xf>
    <xf numFmtId="0" fontId="0" fillId="0" borderId="0" xfId="0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38" fontId="4" fillId="3" borderId="1" xfId="1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vertical="center" shrinkToFit="1"/>
      <protection locked="0"/>
    </xf>
    <xf numFmtId="38" fontId="4" fillId="2" borderId="1" xfId="1" applyFont="1" applyFill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82950</xdr:colOff>
      <xdr:row>0</xdr:row>
      <xdr:rowOff>250638</xdr:rowOff>
    </xdr:from>
    <xdr:to>
      <xdr:col>12</xdr:col>
      <xdr:colOff>498662</xdr:colOff>
      <xdr:row>15</xdr:row>
      <xdr:rowOff>153610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3515"/>
        <a:stretch/>
      </xdr:blipFill>
      <xdr:spPr>
        <a:xfrm>
          <a:off x="6124521" y="250638"/>
          <a:ext cx="3817498" cy="531861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7</xdr:col>
      <xdr:colOff>244928</xdr:colOff>
      <xdr:row>13</xdr:row>
      <xdr:rowOff>54429</xdr:rowOff>
    </xdr:from>
    <xdr:to>
      <xdr:col>9</xdr:col>
      <xdr:colOff>381000</xdr:colOff>
      <xdr:row>14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68785" y="4653643"/>
          <a:ext cx="1496786" cy="29935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244929</xdr:colOff>
      <xdr:row>11</xdr:row>
      <xdr:rowOff>122464</xdr:rowOff>
    </xdr:from>
    <xdr:to>
      <xdr:col>9</xdr:col>
      <xdr:colOff>54429</xdr:colOff>
      <xdr:row>12</xdr:row>
      <xdr:rowOff>285750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068786" y="4014107"/>
          <a:ext cx="1170214" cy="51707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449036</xdr:colOff>
      <xdr:row>12</xdr:row>
      <xdr:rowOff>285749</xdr:rowOff>
    </xdr:from>
    <xdr:to>
      <xdr:col>8</xdr:col>
      <xdr:colOff>544287</xdr:colOff>
      <xdr:row>14</xdr:row>
      <xdr:rowOff>231321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592536" y="4531178"/>
          <a:ext cx="1455965" cy="653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6</xdr:col>
      <xdr:colOff>449035</xdr:colOff>
      <xdr:row>11</xdr:row>
      <xdr:rowOff>54428</xdr:rowOff>
    </xdr:from>
    <xdr:to>
      <xdr:col>8</xdr:col>
      <xdr:colOff>544286</xdr:colOff>
      <xdr:row>13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92535" y="3946071"/>
          <a:ext cx="1455965" cy="6531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E11" sqref="E11"/>
    </sheetView>
  </sheetViews>
  <sheetFormatPr defaultRowHeight="13.5" x14ac:dyDescent="0.15"/>
  <cols>
    <col min="4" max="4" width="7.125" bestFit="1" customWidth="1"/>
    <col min="9" max="9" width="5.25" bestFit="1" customWidth="1"/>
    <col min="10" max="10" width="7.125" bestFit="1" customWidth="1"/>
    <col min="12" max="12" width="7.125" bestFit="1" customWidth="1"/>
    <col min="14" max="14" width="8.25" bestFit="1" customWidth="1"/>
    <col min="15" max="15" width="4.5" bestFit="1" customWidth="1"/>
  </cols>
  <sheetData>
    <row r="1" spans="1:15" x14ac:dyDescent="0.15">
      <c r="A1" t="s">
        <v>6</v>
      </c>
      <c r="B1" s="1">
        <v>20</v>
      </c>
      <c r="I1" t="s">
        <v>6</v>
      </c>
      <c r="J1" t="s">
        <v>4</v>
      </c>
      <c r="L1" t="s">
        <v>2</v>
      </c>
      <c r="N1" t="s">
        <v>1</v>
      </c>
    </row>
    <row r="2" spans="1:15" x14ac:dyDescent="0.15">
      <c r="A2" t="s">
        <v>2</v>
      </c>
      <c r="B2" s="1" t="s">
        <v>7</v>
      </c>
      <c r="I2">
        <v>13</v>
      </c>
      <c r="J2">
        <v>1960</v>
      </c>
      <c r="L2" t="s">
        <v>7</v>
      </c>
      <c r="N2" t="s">
        <v>9</v>
      </c>
      <c r="O2">
        <v>150</v>
      </c>
    </row>
    <row r="3" spans="1:15" x14ac:dyDescent="0.15">
      <c r="A3" t="s">
        <v>3</v>
      </c>
      <c r="B3" s="1">
        <v>1</v>
      </c>
      <c r="D3" t="s">
        <v>4</v>
      </c>
      <c r="E3">
        <f>980*2*世帯数</f>
        <v>1960</v>
      </c>
      <c r="F3" s="7">
        <f>VLOOKUP(口径,I2:J9,2)</f>
        <v>1960</v>
      </c>
      <c r="G3" s="7"/>
      <c r="I3">
        <v>20</v>
      </c>
      <c r="J3">
        <v>1960</v>
      </c>
      <c r="L3" t="s">
        <v>8</v>
      </c>
      <c r="N3" t="s">
        <v>10</v>
      </c>
      <c r="O3">
        <v>170</v>
      </c>
    </row>
    <row r="4" spans="1:15" x14ac:dyDescent="0.15">
      <c r="A4" t="s">
        <v>0</v>
      </c>
      <c r="B4" s="1">
        <v>12</v>
      </c>
      <c r="I4">
        <v>25</v>
      </c>
      <c r="J4">
        <v>3000</v>
      </c>
      <c r="N4" t="s">
        <v>11</v>
      </c>
      <c r="O4">
        <v>180</v>
      </c>
    </row>
    <row r="5" spans="1:15" x14ac:dyDescent="0.15">
      <c r="F5" t="s">
        <v>14</v>
      </c>
      <c r="G5" t="s">
        <v>15</v>
      </c>
      <c r="I5">
        <v>30</v>
      </c>
      <c r="J5">
        <v>3400</v>
      </c>
      <c r="N5" t="s">
        <v>13</v>
      </c>
      <c r="O5">
        <v>190</v>
      </c>
    </row>
    <row r="6" spans="1:15" x14ac:dyDescent="0.15">
      <c r="D6">
        <v>150</v>
      </c>
      <c r="E6">
        <f>IF(使用水量&gt;16*世帯数,IF(使用水量&lt;=40*世帯数,(使用水量-16*世帯数)*O2,24*世帯数*O2),0)</f>
        <v>0</v>
      </c>
      <c r="F6">
        <f>IF(使用水量&gt;16,IF(使用水量&lt;=40,(使用水量-16)*150,3600),0)</f>
        <v>0</v>
      </c>
      <c r="G6">
        <f>IF(使用水量&lt;=40,使用水量*150,6000)</f>
        <v>1800</v>
      </c>
      <c r="I6">
        <v>40</v>
      </c>
      <c r="J6">
        <v>4000</v>
      </c>
      <c r="N6" t="s">
        <v>12</v>
      </c>
      <c r="O6">
        <v>200</v>
      </c>
    </row>
    <row r="7" spans="1:15" x14ac:dyDescent="0.15">
      <c r="A7" t="s">
        <v>5</v>
      </c>
      <c r="B7" s="2">
        <f>ROUNDDOWN(IF(用途="共用用",E3+E11,IF(口径&lt;=20,F3+F11,F3+G11))*1.1,0)</f>
        <v>2156</v>
      </c>
      <c r="D7">
        <v>170</v>
      </c>
      <c r="E7">
        <f>IF(使用水量&gt;40*世帯数,IF(使用水量&lt;=60*世帯数,(使用水量-40*世帯数)*170,20*世帯数*170),0)</f>
        <v>0</v>
      </c>
      <c r="F7">
        <f>IF(使用水量&gt;40,IF(使用水量&lt;=60,(使用水量-40)*170,3400),0)</f>
        <v>0</v>
      </c>
      <c r="G7">
        <f>IF(使用水量&gt;40,IF(使用水量&lt;=60,(使用水量-40)*170,3400),0)</f>
        <v>0</v>
      </c>
      <c r="I7">
        <v>50</v>
      </c>
      <c r="J7">
        <v>5000</v>
      </c>
    </row>
    <row r="8" spans="1:15" x14ac:dyDescent="0.15">
      <c r="D8">
        <v>180</v>
      </c>
      <c r="E8">
        <f>IF(使用水量&gt;60*世帯数,IF(使用水量&lt;=80*世帯数,(使用水量-60*世帯数)*180,20*世帯数*180),0)</f>
        <v>0</v>
      </c>
      <c r="F8">
        <f>IF(使用水量&gt;60,IF(使用水量&lt;=80,(使用水量-60)*180,3600),0)</f>
        <v>0</v>
      </c>
      <c r="G8">
        <f>IF(使用水量&gt;60,IF(使用水量&lt;=80,(使用水量-60)*180,3600),0)</f>
        <v>0</v>
      </c>
      <c r="I8">
        <v>75</v>
      </c>
      <c r="J8">
        <v>6000</v>
      </c>
    </row>
    <row r="9" spans="1:15" x14ac:dyDescent="0.15">
      <c r="D9">
        <v>190</v>
      </c>
      <c r="E9">
        <f>IF(使用水量&gt;80*世帯数,IF(使用水量&lt;=200*世帯数,(使用水量-80*世帯数)*190,20*世帯数*190),0)</f>
        <v>0</v>
      </c>
      <c r="F9">
        <f>IF(使用水量&gt;80,IF(使用水量&lt;=200,(使用水量-80)*190,22800),0)</f>
        <v>0</v>
      </c>
      <c r="G9">
        <f>IF(使用水量&gt;80,IF(使用水量&lt;=200,(使用水量-80)*190,22800),0)</f>
        <v>0</v>
      </c>
      <c r="I9">
        <v>100</v>
      </c>
      <c r="J9">
        <v>7000</v>
      </c>
    </row>
    <row r="10" spans="1:15" x14ac:dyDescent="0.15">
      <c r="D10">
        <v>200</v>
      </c>
      <c r="E10">
        <f>IF(使用水量&gt;200*世帯数,(使用水量-200*世帯数)*200,0)</f>
        <v>0</v>
      </c>
      <c r="F10">
        <f>IF(使用水量&gt;200,(使用水量-200)*200,0)</f>
        <v>0</v>
      </c>
      <c r="G10">
        <f>IF(使用水量&gt;200,(使用水量-200)*200,0)</f>
        <v>0</v>
      </c>
    </row>
    <row r="11" spans="1:15" x14ac:dyDescent="0.15">
      <c r="E11">
        <f>SUM(E6:E10)</f>
        <v>0</v>
      </c>
      <c r="F11">
        <f>SUM(F6:F10)</f>
        <v>0</v>
      </c>
      <c r="G11">
        <f>SUM(G6:G10)</f>
        <v>1800</v>
      </c>
    </row>
  </sheetData>
  <mergeCells count="1">
    <mergeCell ref="F3:G3"/>
  </mergeCells>
  <phoneticPr fontId="1"/>
  <dataValidations count="2">
    <dataValidation type="list" allowBlank="1" showInputMessage="1" showErrorMessage="1" sqref="B1">
      <formula1>$I$2:$I$9</formula1>
    </dataValidation>
    <dataValidation type="list" allowBlank="1" showInputMessage="1" showErrorMessage="1" sqref="B2">
      <formula1>$L$2:$L$3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0"/>
  <sheetViews>
    <sheetView tabSelected="1" view="pageBreakPreview" zoomScaleNormal="100" zoomScaleSheetLayoutView="100" workbookViewId="0"/>
  </sheetViews>
  <sheetFormatPr defaultRowHeight="16.5" x14ac:dyDescent="0.15"/>
  <cols>
    <col min="1" max="1" width="9.875" style="4" customWidth="1"/>
    <col min="2" max="2" width="11.5" style="4" customWidth="1"/>
    <col min="3" max="3" width="14.625" style="4" customWidth="1"/>
    <col min="4" max="4" width="16.625" style="4" customWidth="1"/>
    <col min="5" max="14" width="9" style="4"/>
    <col min="15" max="15" width="7.125" style="4" hidden="1" customWidth="1"/>
    <col min="16" max="18" width="9.25" style="4" hidden="1" customWidth="1"/>
    <col min="19" max="19" width="0" style="4" hidden="1" customWidth="1"/>
    <col min="20" max="20" width="5.25" style="4" hidden="1" customWidth="1"/>
    <col min="21" max="21" width="7.125" style="4" hidden="1" customWidth="1"/>
    <col min="22" max="22" width="0" style="4" hidden="1" customWidth="1"/>
    <col min="23" max="23" width="7.125" style="4" hidden="1" customWidth="1"/>
    <col min="24" max="24" width="0" style="4" hidden="1" customWidth="1"/>
    <col min="25" max="25" width="8.25" style="4" hidden="1" customWidth="1"/>
    <col min="26" max="26" width="4.5" style="4" hidden="1" customWidth="1"/>
    <col min="27" max="27" width="0" style="4" hidden="1" customWidth="1"/>
    <col min="28" max="16384" width="9" style="4"/>
  </cols>
  <sheetData>
    <row r="1" spans="1:26" ht="32.25" customHeight="1" x14ac:dyDescent="0.15">
      <c r="A1" s="9"/>
      <c r="B1" s="10" t="s">
        <v>16</v>
      </c>
      <c r="C1" s="10"/>
      <c r="D1" s="10"/>
      <c r="E1" s="10"/>
      <c r="F1" s="10"/>
      <c r="G1" s="9"/>
    </row>
    <row r="2" spans="1:26" ht="32.25" customHeight="1" x14ac:dyDescent="0.15">
      <c r="A2" s="9"/>
      <c r="B2" s="10" t="s">
        <v>17</v>
      </c>
      <c r="C2" s="10"/>
      <c r="D2" s="10"/>
      <c r="E2" s="10"/>
      <c r="F2" s="10"/>
      <c r="G2" s="9"/>
    </row>
    <row r="3" spans="1:26" ht="27.75" customHeight="1" x14ac:dyDescent="0.15">
      <c r="A3" s="9"/>
      <c r="B3" s="9"/>
      <c r="C3" s="9"/>
      <c r="D3" s="9"/>
      <c r="E3" s="9"/>
      <c r="F3" s="9"/>
      <c r="G3" s="9"/>
    </row>
    <row r="4" spans="1:26" ht="27.75" customHeight="1" x14ac:dyDescent="0.15">
      <c r="A4" s="9"/>
      <c r="B4" s="11" t="s">
        <v>18</v>
      </c>
      <c r="C4" s="9"/>
      <c r="D4" s="9"/>
      <c r="E4" s="9"/>
      <c r="F4" s="9"/>
      <c r="G4" s="9"/>
    </row>
    <row r="5" spans="1:26" ht="27.75" customHeight="1" x14ac:dyDescent="0.15">
      <c r="A5" s="9"/>
      <c r="B5" s="9"/>
      <c r="C5" s="9"/>
      <c r="D5" s="9"/>
      <c r="E5" s="9"/>
      <c r="F5" s="9"/>
      <c r="G5" s="9"/>
    </row>
    <row r="6" spans="1:26" ht="27.75" customHeight="1" x14ac:dyDescent="0.15">
      <c r="A6" s="9"/>
      <c r="B6" s="9" t="s">
        <v>19</v>
      </c>
      <c r="C6" s="9"/>
      <c r="D6" s="9"/>
      <c r="E6" s="9"/>
      <c r="F6" s="9"/>
      <c r="G6" s="9"/>
      <c r="T6" s="4" t="s">
        <v>6</v>
      </c>
      <c r="U6" s="4" t="s">
        <v>4</v>
      </c>
      <c r="W6" s="4" t="s">
        <v>2</v>
      </c>
      <c r="Y6" s="4" t="s">
        <v>1</v>
      </c>
    </row>
    <row r="7" spans="1:26" ht="27.75" customHeight="1" x14ac:dyDescent="0.15">
      <c r="A7" s="9"/>
      <c r="B7" s="12"/>
      <c r="C7" s="9" t="s">
        <v>20</v>
      </c>
      <c r="D7" s="9"/>
      <c r="E7" s="9"/>
      <c r="F7" s="9"/>
      <c r="G7" s="9"/>
      <c r="T7" s="4">
        <v>13</v>
      </c>
      <c r="U7" s="5">
        <v>2400</v>
      </c>
      <c r="W7" s="4" t="s">
        <v>7</v>
      </c>
      <c r="Y7" s="4" t="s">
        <v>9</v>
      </c>
      <c r="Z7" s="4">
        <v>185</v>
      </c>
    </row>
    <row r="8" spans="1:26" ht="27.75" customHeight="1" x14ac:dyDescent="0.15">
      <c r="A8" s="9"/>
      <c r="B8" s="9"/>
      <c r="C8" s="9"/>
      <c r="D8" s="9"/>
      <c r="E8" s="9"/>
      <c r="F8" s="9"/>
      <c r="G8" s="9"/>
      <c r="O8" s="4" t="s">
        <v>4</v>
      </c>
      <c r="P8" s="5">
        <f>1200*2*1</f>
        <v>2400</v>
      </c>
      <c r="Q8" s="8" t="e">
        <f>VLOOKUP(口径,T7:U14,2)</f>
        <v>#N/A</v>
      </c>
      <c r="R8" s="8"/>
      <c r="T8" s="4">
        <v>20</v>
      </c>
      <c r="U8" s="5">
        <v>2400</v>
      </c>
      <c r="W8" s="4" t="s">
        <v>8</v>
      </c>
      <c r="Y8" s="4" t="s">
        <v>10</v>
      </c>
      <c r="Z8" s="4">
        <v>210</v>
      </c>
    </row>
    <row r="9" spans="1:26" ht="27.75" customHeight="1" x14ac:dyDescent="0.15">
      <c r="A9" s="9"/>
      <c r="B9" s="9"/>
      <c r="C9" s="9"/>
      <c r="D9" s="9"/>
      <c r="E9" s="9"/>
      <c r="F9" s="9"/>
      <c r="G9" s="9"/>
      <c r="T9" s="4">
        <v>25</v>
      </c>
      <c r="U9" s="5">
        <v>3660</v>
      </c>
      <c r="Y9" s="4" t="s">
        <v>11</v>
      </c>
      <c r="Z9" s="4">
        <v>220</v>
      </c>
    </row>
    <row r="10" spans="1:26" ht="27.75" customHeight="1" x14ac:dyDescent="0.15">
      <c r="A10" s="13" t="s">
        <v>21</v>
      </c>
      <c r="B10" s="13"/>
      <c r="C10" s="13"/>
      <c r="D10" s="19"/>
      <c r="E10" s="9" t="s">
        <v>23</v>
      </c>
      <c r="F10" s="9"/>
      <c r="G10" s="9"/>
      <c r="H10" s="14"/>
      <c r="I10" s="14"/>
      <c r="J10" s="14"/>
      <c r="K10" s="14"/>
      <c r="L10" s="14"/>
      <c r="M10" s="14"/>
      <c r="Q10" s="4" t="s">
        <v>14</v>
      </c>
      <c r="R10" s="4" t="s">
        <v>15</v>
      </c>
      <c r="T10" s="4">
        <v>30</v>
      </c>
      <c r="U10" s="5">
        <v>4160</v>
      </c>
      <c r="Y10" s="4" t="s">
        <v>13</v>
      </c>
      <c r="Z10" s="4">
        <v>235</v>
      </c>
    </row>
    <row r="11" spans="1:26" ht="27.75" customHeight="1" x14ac:dyDescent="0.15">
      <c r="A11" s="13" t="s">
        <v>22</v>
      </c>
      <c r="B11" s="13"/>
      <c r="C11" s="13"/>
      <c r="D11" s="20"/>
      <c r="E11" s="9" t="s">
        <v>24</v>
      </c>
      <c r="F11" s="9"/>
      <c r="G11" s="9"/>
      <c r="H11" s="14"/>
      <c r="I11" s="14"/>
      <c r="J11" s="14"/>
      <c r="K11" s="14"/>
      <c r="L11" s="14"/>
      <c r="M11" s="14"/>
      <c r="O11" s="4">
        <v>185</v>
      </c>
      <c r="P11" s="5">
        <f>IF(使用水量&gt;16*1,IF(使用水量&lt;=40*1,(使用水量-16*1)*Z7,24*1*Z7),0)</f>
        <v>0</v>
      </c>
      <c r="Q11" s="6">
        <f>IF(使用水量&gt;16,IF(使用水量&lt;=40,(使用水量-16)*185,4440),0)</f>
        <v>0</v>
      </c>
      <c r="R11" s="6">
        <f>IF(使用水量&lt;=40,使用水量*185,7400)</f>
        <v>0</v>
      </c>
      <c r="T11" s="4">
        <v>40</v>
      </c>
      <c r="U11" s="5">
        <v>4880</v>
      </c>
      <c r="Y11" s="4" t="s">
        <v>12</v>
      </c>
      <c r="Z11" s="4">
        <v>245</v>
      </c>
    </row>
    <row r="12" spans="1:26" ht="27.75" customHeight="1" x14ac:dyDescent="0.15">
      <c r="A12" s="9"/>
      <c r="B12" s="9"/>
      <c r="C12" s="9"/>
      <c r="D12" s="15"/>
      <c r="E12" s="9"/>
      <c r="F12" s="9"/>
      <c r="G12" s="9"/>
      <c r="H12" s="14"/>
      <c r="I12" s="14"/>
      <c r="J12" s="14"/>
      <c r="K12" s="14"/>
      <c r="L12" s="14"/>
      <c r="M12" s="14"/>
      <c r="O12" s="4">
        <v>210</v>
      </c>
      <c r="P12" s="5">
        <f>IF(使用水量&gt;40*1,IF(使用水量&lt;=60*1,(使用水量-40*1)*210,20*1*210),0)</f>
        <v>0</v>
      </c>
      <c r="Q12" s="6">
        <f>IF(使用水量&gt;40,IF(使用水量&lt;=60,(使用水量-40)*210,4200),0)</f>
        <v>0</v>
      </c>
      <c r="R12" s="6">
        <f>IF(使用水量&gt;40,IF(使用水量&lt;=60,(使用水量-40)*210,4200),0)</f>
        <v>0</v>
      </c>
      <c r="T12" s="4">
        <v>50</v>
      </c>
      <c r="U12" s="5">
        <v>6120</v>
      </c>
    </row>
    <row r="13" spans="1:26" ht="27.75" customHeight="1" x14ac:dyDescent="0.15">
      <c r="A13" s="9"/>
      <c r="B13" s="9"/>
      <c r="C13" s="9"/>
      <c r="D13" s="15"/>
      <c r="E13" s="9"/>
      <c r="F13" s="9"/>
      <c r="G13" s="9"/>
      <c r="H13" s="14"/>
      <c r="I13" s="14"/>
      <c r="J13" s="14"/>
      <c r="K13" s="14"/>
      <c r="L13" s="14"/>
      <c r="M13" s="14"/>
      <c r="O13" s="4">
        <v>220</v>
      </c>
      <c r="P13" s="5">
        <f>IF(使用水量&gt;60*1,IF(使用水量&lt;=80*1,(使用水量-60*1)*220,20*1*220),0)</f>
        <v>0</v>
      </c>
      <c r="Q13" s="6">
        <f>IF(使用水量&gt;60,IF(使用水量&lt;=80,(使用水量-60)*220,4400),0)</f>
        <v>0</v>
      </c>
      <c r="R13" s="6">
        <f>IF(使用水量&gt;60,IF(使用水量&lt;=80,(使用水量-60)*220,4400),0)</f>
        <v>0</v>
      </c>
      <c r="T13" s="4">
        <v>75</v>
      </c>
      <c r="U13" s="5">
        <v>7320</v>
      </c>
    </row>
    <row r="14" spans="1:26" ht="27.75" customHeight="1" x14ac:dyDescent="0.15">
      <c r="A14" s="16" t="s">
        <v>26</v>
      </c>
      <c r="B14" s="16"/>
      <c r="C14" s="17"/>
      <c r="D14" s="18" t="e">
        <f>ROUNDDOWN(IF(P8+P16,IF(口径&lt;=20,Q8+Q16,Q8+R16))*1.1,0)</f>
        <v>#N/A</v>
      </c>
      <c r="E14" s="9" t="s">
        <v>25</v>
      </c>
      <c r="F14" s="9"/>
      <c r="G14" s="9"/>
      <c r="H14" s="14"/>
      <c r="I14" s="14"/>
      <c r="J14" s="14"/>
      <c r="K14" s="14"/>
      <c r="L14" s="14"/>
      <c r="M14" s="14"/>
      <c r="O14" s="4">
        <v>235</v>
      </c>
      <c r="P14" s="5">
        <f>IF(使用水量&gt;80*1,IF(使用水量&lt;=200*1,(使用水量-80*1)*235,20*1*235),0)</f>
        <v>0</v>
      </c>
      <c r="Q14" s="6">
        <f>IF(使用水量&gt;80,IF(使用水量&lt;=200,(使用水量-80)*235,28200),0)</f>
        <v>0</v>
      </c>
      <c r="R14" s="6">
        <f>IF(使用水量&gt;80,IF(使用水量&lt;=200,(使用水量-80)*235,28200),0)</f>
        <v>0</v>
      </c>
      <c r="T14" s="4">
        <v>100</v>
      </c>
      <c r="U14" s="5">
        <v>8560</v>
      </c>
    </row>
    <row r="15" spans="1:26" ht="27.75" customHeight="1" x14ac:dyDescent="0.15">
      <c r="A15" s="9"/>
      <c r="B15" s="9"/>
      <c r="C15" s="9"/>
      <c r="D15" s="9"/>
      <c r="E15" s="9"/>
      <c r="F15" s="9"/>
      <c r="G15" s="9"/>
      <c r="H15" s="14"/>
      <c r="I15" s="14"/>
      <c r="J15" s="14"/>
      <c r="K15" s="14"/>
      <c r="L15" s="14"/>
      <c r="M15" s="14"/>
      <c r="O15" s="4">
        <v>245</v>
      </c>
      <c r="P15" s="5">
        <f>IF(使用水量&gt;200*1,(使用水量-200*1)*245,0)</f>
        <v>0</v>
      </c>
      <c r="Q15" s="6">
        <f>IF(使用水量&gt;200,(使用水量-200)*245,0)</f>
        <v>0</v>
      </c>
      <c r="R15" s="6">
        <f>IF(使用水量&gt;200,(使用水量-200)*245,0)</f>
        <v>0</v>
      </c>
    </row>
    <row r="16" spans="1:26" ht="27.75" customHeight="1" x14ac:dyDescent="0.15">
      <c r="A16" s="9" t="s">
        <v>27</v>
      </c>
      <c r="B16" s="9"/>
      <c r="C16" s="9"/>
      <c r="D16" s="9"/>
      <c r="E16" s="9"/>
      <c r="F16" s="9"/>
      <c r="G16" s="9"/>
      <c r="H16" s="14"/>
      <c r="I16" s="14"/>
      <c r="J16" s="14"/>
      <c r="K16" s="14"/>
      <c r="L16" s="14"/>
      <c r="M16" s="14"/>
      <c r="P16" s="5">
        <f>SUM(P11:P15)</f>
        <v>0</v>
      </c>
      <c r="Q16" s="6">
        <f>SUM(Q11:Q15)</f>
        <v>0</v>
      </c>
      <c r="R16" s="6">
        <f>SUM(R11:R15)</f>
        <v>0</v>
      </c>
    </row>
    <row r="17" spans="1:13" ht="27.75" customHeight="1" x14ac:dyDescent="0.15">
      <c r="A17" s="9" t="s">
        <v>28</v>
      </c>
      <c r="B17" s="9"/>
      <c r="C17" s="9"/>
      <c r="D17" s="9"/>
      <c r="E17" s="9"/>
      <c r="F17" s="9"/>
      <c r="G17" s="9"/>
      <c r="H17" s="14"/>
      <c r="I17" s="14"/>
      <c r="J17" s="14"/>
      <c r="K17" s="14"/>
      <c r="L17" s="14"/>
      <c r="M17" s="14"/>
    </row>
    <row r="18" spans="1:13" ht="27.75" customHeight="1" x14ac:dyDescent="0.15">
      <c r="A18" s="9"/>
      <c r="B18" s="9"/>
      <c r="C18" s="9"/>
      <c r="D18" s="9"/>
      <c r="E18" s="9"/>
      <c r="F18" s="9"/>
      <c r="G18" s="9"/>
      <c r="H18" s="14"/>
      <c r="I18" s="14"/>
      <c r="J18" s="14"/>
      <c r="K18" s="14"/>
      <c r="L18" s="14"/>
      <c r="M18" s="14"/>
    </row>
    <row r="19" spans="1:13" ht="27.75" customHeight="1" x14ac:dyDescent="0.15">
      <c r="A19" s="3"/>
      <c r="B19" s="3"/>
      <c r="C19" s="3"/>
      <c r="D19" s="3"/>
      <c r="E19" s="3"/>
      <c r="F19" s="3"/>
      <c r="G19" s="3"/>
    </row>
    <row r="20" spans="1:13" ht="27.75" customHeight="1" x14ac:dyDescent="0.15"/>
  </sheetData>
  <sheetProtection algorithmName="SHA-512" hashValue="UinWVLQLhhfTcaiFUEtRhfg+4VllTdhApURWbKHTM7v+lKQ9SUmx3a4VfgQ5HMwlHtFWOqKEzDNM+xy4TAXnfg==" saltValue="PgwmWnyoAjnZZi5zeSqFiA==" spinCount="100000" sheet="1" objects="1" scenarios="1"/>
  <mergeCells count="6">
    <mergeCell ref="A14:C14"/>
    <mergeCell ref="Q8:R8"/>
    <mergeCell ref="A10:C10"/>
    <mergeCell ref="A11:C11"/>
    <mergeCell ref="B1:F1"/>
    <mergeCell ref="B2:F2"/>
  </mergeCells>
  <phoneticPr fontId="2"/>
  <dataValidations count="1">
    <dataValidation type="list" allowBlank="1" showInputMessage="1" showErrorMessage="1" sqref="D10">
      <formula1>$T$7:$T$14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料金計算（現行）</vt:lpstr>
      <vt:lpstr>料金計算（R8.4.1改定）</vt:lpstr>
      <vt:lpstr>'料金計算（R8.4.1改定）'!Print_Area</vt:lpstr>
      <vt:lpstr>'料金計算（R8.4.1改定）'!口径</vt:lpstr>
      <vt:lpstr>口径</vt:lpstr>
      <vt:lpstr>'料金計算（R8.4.1改定）'!使用水量</vt:lpstr>
      <vt:lpstr>使用水量</vt:lpstr>
      <vt:lpstr>世帯数</vt:lpstr>
      <vt:lpstr>用途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神成　洪作</dc:creator>
  <cp:lastModifiedBy>Administrator</cp:lastModifiedBy>
  <dcterms:created xsi:type="dcterms:W3CDTF">2025-04-03T23:44:50Z</dcterms:created>
  <dcterms:modified xsi:type="dcterms:W3CDTF">2025-04-28T05:00:50Z</dcterms:modified>
</cp:coreProperties>
</file>