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765" windowHeight="11520"/>
  </bookViews>
  <sheets>
    <sheet name="簡易試算ツール" sheetId="3" r:id="rId1"/>
    <sheet name="Sheet1" sheetId="1"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<sst xmlns="http://schemas.openxmlformats.org/spreadsheetml/2006/main" xmlns:r="http://schemas.openxmlformats.org/officeDocument/2006/relationships" count="36" uniqueCount="36">
  <si>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介護保険分</t>
    <rPh sb="0" eb="2">
      <t>かいご</t>
    </rPh>
    <rPh sb="2" eb="4">
      <t>ほけん</t>
    </rPh>
    <rPh sb="4" eb="5">
      <t>ぶん</t>
    </rPh>
    <phoneticPr fontId="1" type="Hiragana"/>
  </si>
  <si>
    <t>基礎控除</t>
    <rPh sb="0" eb="2">
      <t>きそ</t>
    </rPh>
    <rPh sb="2" eb="4">
      <t>こうじょ</t>
    </rPh>
    <phoneticPr fontId="1" type="Hiragana"/>
  </si>
  <si>
    <t>小計</t>
    <rPh sb="0" eb="2">
      <t>しょうけい</t>
    </rPh>
    <phoneticPr fontId="1" type="Hiragana"/>
  </si>
  <si>
    <t>所得割</t>
    <rPh sb="0" eb="2">
      <t>しょとく</t>
    </rPh>
    <rPh sb="2" eb="3">
      <t>わり</t>
    </rPh>
    <phoneticPr fontId="1" type="Hiragana"/>
  </si>
  <si>
    <t>均等割</t>
    <rPh sb="0" eb="2">
      <t>きんとう</t>
    </rPh>
    <rPh sb="2" eb="3">
      <t>わ</t>
    </rPh>
    <phoneticPr fontId="1" type="Hiragana"/>
  </si>
  <si>
    <t>支援金分</t>
    <rPh sb="0" eb="2">
      <t>しえん</t>
    </rPh>
    <rPh sb="2" eb="3">
      <t>きん</t>
    </rPh>
    <rPh sb="3" eb="4">
      <t>ぶん</t>
    </rPh>
    <phoneticPr fontId="1" type="Hiragana"/>
  </si>
  <si>
    <t>合計</t>
    <rPh sb="0" eb="2">
      <t>ごうけい</t>
    </rPh>
    <phoneticPr fontId="1" type="Hiragana"/>
  </si>
  <si>
    <t>控除額</t>
    <rPh sb="0" eb="2">
      <t>こうじょ</t>
    </rPh>
    <rPh sb="2" eb="3">
      <t>がく</t>
    </rPh>
    <phoneticPr fontId="1" type="Hiragana"/>
  </si>
  <si>
    <t>軽減判定総所得</t>
    <rPh sb="0" eb="2">
      <t>けいげん</t>
    </rPh>
    <rPh sb="2" eb="4">
      <t>はんてい</t>
    </rPh>
    <rPh sb="4" eb="7">
      <t>そうしょとく</t>
    </rPh>
    <phoneticPr fontId="1" type="Hiragana"/>
  </si>
  <si>
    <t>医療分</t>
    <rPh sb="0" eb="2">
      <t>いりょう</t>
    </rPh>
    <rPh sb="2" eb="3">
      <t>ぶん</t>
    </rPh>
    <phoneticPr fontId="1" type="Hiragana"/>
  </si>
  <si>
    <t>課税標準所得額</t>
    <rPh sb="0" eb="2">
      <t>かぜい</t>
    </rPh>
    <rPh sb="2" eb="4">
      <t>ひょうじゅん</t>
    </rPh>
    <rPh sb="4" eb="6">
      <t>しょとく</t>
    </rPh>
    <rPh sb="6" eb="7">
      <t>がく</t>
    </rPh>
    <phoneticPr fontId="1" type="Hiragana"/>
  </si>
  <si>
    <t>年金所得
（軽減判定）</t>
    <rPh sb="0" eb="2">
      <t>ねんきん</t>
    </rPh>
    <rPh sb="2" eb="4">
      <t>しょとく</t>
    </rPh>
    <rPh sb="6" eb="8">
      <t>けいげん</t>
    </rPh>
    <rPh sb="8" eb="10">
      <t>はんてい</t>
    </rPh>
    <phoneticPr fontId="1" type="Hiragana"/>
  </si>
  <si>
    <t>給与</t>
    <rPh sb="0" eb="2">
      <t>きゅうよ</t>
    </rPh>
    <phoneticPr fontId="1" type="Hiragana"/>
  </si>
  <si>
    <t>合計所得</t>
    <rPh sb="0" eb="2">
      <t>ごうけい</t>
    </rPh>
    <rPh sb="2" eb="4">
      <t>しょとく</t>
    </rPh>
    <phoneticPr fontId="1" type="Hiragana"/>
  </si>
  <si>
    <t>低所得世帯に対する軽減：</t>
    <rPh sb="0" eb="3">
      <t>ていしょとく</t>
    </rPh>
    <rPh sb="3" eb="5">
      <t>せたい</t>
    </rPh>
    <rPh sb="6" eb="7">
      <t>たい</t>
    </rPh>
    <rPh sb="9" eb="11">
      <t>けいげん</t>
    </rPh>
    <phoneticPr fontId="1" type="Hiragana"/>
  </si>
  <si>
    <t>所得金額
調整控除</t>
    <rPh sb="0" eb="2">
      <t>しょとく</t>
    </rPh>
    <rPh sb="2" eb="4">
      <t>きんがく</t>
    </rPh>
    <rPh sb="5" eb="7">
      <t>ちょうせい</t>
    </rPh>
    <rPh sb="7" eb="9">
      <t>こうじょ</t>
    </rPh>
    <phoneticPr fontId="1" type="Hiragana"/>
  </si>
  <si>
    <t>２割軽減判定</t>
    <rPh sb="1" eb="2">
      <t>わ</t>
    </rPh>
    <rPh sb="2" eb="4">
      <t>けいげん</t>
    </rPh>
    <rPh sb="4" eb="6">
      <t>はんてい</t>
    </rPh>
    <phoneticPr fontId="1" type="Hiragana"/>
  </si>
  <si>
    <t>世帯員3</t>
    <rPh sb="0" eb="3">
      <t>せたいいん</t>
    </rPh>
    <phoneticPr fontId="1" type="Hiragana"/>
  </si>
  <si>
    <t>一定以上
フラグ</t>
    <rPh sb="0" eb="2">
      <t>いってい</t>
    </rPh>
    <rPh sb="2" eb="4">
      <t>いじょう</t>
    </rPh>
    <phoneticPr fontId="1" type="Hiragana"/>
  </si>
  <si>
    <t>合計
(年額)</t>
    <rPh sb="0" eb="2">
      <t>ごうけい</t>
    </rPh>
    <rPh sb="4" eb="6">
      <t>ねんがく</t>
    </rPh>
    <phoneticPr fontId="1" type="Hiragana"/>
  </si>
  <si>
    <t/>
  </si>
  <si>
    <t>世帯員4</t>
    <rPh sb="0" eb="3">
      <t>せたいいん</t>
    </rPh>
    <phoneticPr fontId="1" type="Hiragana"/>
  </si>
  <si>
    <t>世帯主（加入しない場合）</t>
    <rPh sb="0" eb="3">
      <t>せたいぬし</t>
    </rPh>
    <rPh sb="4" eb="6">
      <t>かにゅう</t>
    </rPh>
    <rPh sb="9" eb="11">
      <t>ばあい</t>
    </rPh>
    <phoneticPr fontId="1" type="Hiragana"/>
  </si>
  <si>
    <t>世帯員1</t>
    <rPh sb="0" eb="3">
      <t>せたいいん</t>
    </rPh>
    <phoneticPr fontId="1" type="Hiragana"/>
  </si>
  <si>
    <t>基準額</t>
    <rPh sb="0" eb="2">
      <t>きじゅん</t>
    </rPh>
    <rPh sb="2" eb="3">
      <t>がく</t>
    </rPh>
    <phoneticPr fontId="1" type="Hiragana"/>
  </si>
  <si>
    <t>世帯主（加入する場合）</t>
    <rPh sb="0" eb="3">
      <t>せたいぬし</t>
    </rPh>
    <rPh sb="4" eb="6">
      <t>かにゅう</t>
    </rPh>
    <rPh sb="8" eb="10">
      <t>ばあい</t>
    </rPh>
    <phoneticPr fontId="1" type="Hiragana"/>
  </si>
  <si>
    <t>世帯員2</t>
    <rPh sb="0" eb="3">
      <t>せたいいん</t>
    </rPh>
    <phoneticPr fontId="1" type="Hiragana"/>
  </si>
  <si>
    <t>7割軽減判定</t>
    <rPh sb="1" eb="2">
      <t>わ</t>
    </rPh>
    <rPh sb="2" eb="4">
      <t>けいげん</t>
    </rPh>
    <rPh sb="4" eb="6">
      <t>はんてい</t>
    </rPh>
    <phoneticPr fontId="1" type="Hiragana"/>
  </si>
  <si>
    <t>5割軽減判定</t>
    <rPh sb="1" eb="2">
      <t>わ</t>
    </rPh>
    <rPh sb="2" eb="4">
      <t>けいげん</t>
    </rPh>
    <rPh sb="4" eb="6">
      <t>はんてい</t>
    </rPh>
    <phoneticPr fontId="1" type="Hiragana"/>
  </si>
  <si>
    <t>収入</t>
    <rPh sb="0" eb="2">
      <t>しゅうにゅう</t>
    </rPh>
    <phoneticPr fontId="1" type="Hiragana"/>
  </si>
  <si>
    <t>【参考】月額（年額÷12）：</t>
    <rPh sb="1" eb="3">
      <t>さんこう</t>
    </rPh>
    <rPh sb="4" eb="6">
      <t>げつがく</t>
    </rPh>
    <rPh sb="7" eb="9">
      <t>ねんがく</t>
    </rPh>
    <phoneticPr fontId="1" type="Hiragana"/>
  </si>
  <si>
    <t>所得</t>
    <rPh sb="0" eb="2">
      <t>しょとく</t>
    </rPh>
    <phoneticPr fontId="1" type="Hiragana"/>
  </si>
  <si>
    <t>年金</t>
    <rPh sb="0" eb="2">
      <t>ねんきん</t>
    </rPh>
    <phoneticPr fontId="1" type="Hiragana"/>
  </si>
  <si>
    <t>令和7年度　鴻巣市国民健康保険税額　簡易試算表</t>
    <rPh sb="0" eb="2">
      <t>れいわ</t>
    </rPh>
    <rPh sb="3" eb="5">
      <t>ねんど</t>
    </rPh>
    <rPh sb="6" eb="9">
      <t>こうのすし</t>
    </rPh>
    <rPh sb="9" eb="11">
      <t>こくみん</t>
    </rPh>
    <rPh sb="11" eb="13">
      <t>けんこう</t>
    </rPh>
    <rPh sb="13" eb="15">
      <t>ほけん</t>
    </rPh>
    <rPh sb="15" eb="16">
      <t>ぜい</t>
    </rPh>
    <rPh sb="16" eb="17">
      <t>がく</t>
    </rPh>
    <rPh sb="18" eb="22">
      <t>かんいしさん</t>
    </rPh>
    <rPh sb="22" eb="23">
      <t>ひょう</t>
    </rPh>
    <phoneticPr fontId="1" type="Hiragana"/>
  </si>
  <si>
    <t>R7.1.1の年齢</t>
    <rPh sb="7" eb="9">
      <t>ねんれい</t>
    </rPh>
    <phoneticPr fontId="1" type="Hiragana"/>
  </si>
  <si>
    <t>年齢</t>
    <rPh sb="0" eb="2">
      <t>ねんれい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</si>
</sst>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quot;人&quot;"/>
    <numFmt numFmtId="177" formatCode="#,##0&quot;円&quot;;[Red]\-#,##0"/>
  </numFmts>
  <fonts count="5">
    <font>
      <sz val="11"/>
      <color theme="1"/>
      <name val="游ゴシック"/>
      <family val="3"/>
      <scheme val="minor"/>
    </font>
    <font>
      <sz val="6"/>
      <color auto="1"/>
      <name val="游ゴシック"/>
      <family val="3"/>
    </font>
    <font>
      <b/>
      <sz val="11"/>
      <color theme="1"/>
      <name val="游ゴシック"/>
      <family val="3"/>
      <scheme val="minor"/>
    </font>
    <font>
      <sz val="11"/>
      <color theme="1"/>
      <name val="游ゴシック"/>
      <family val="3"/>
      <scheme val="minor"/>
    </font>
    <font>
      <sz val="10"/>
      <color theme="1"/>
      <name val="游ゴシック"/>
      <family val="3"/>
      <scheme val="minor"/>
    </font>
  </fonts>
  <fills count="5">
    <fill>
      <patternFill patternType="none"/>
    </fill>
    <fill>
      <patternFill patternType="gray125"/>
    </fill>
    <fill>
      <patternFill patternType="solid">
        <fgColor rgb="FFD4F3B5"/>
        <bgColor indexed="64"/>
      </patternFill>
    </fill>
    <fill>
      <patternFill patternType="solid">
        <fgColor rgb="FFFFFF00"/>
        <bgColor indexed="64"/>
      </patternFill>
    </fill>
    <fill>
      <patternFill patternType="solid">
        <fgColor theme="4" tint="0.8"/>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5">
    <xf numFmtId="0" fontId="0" fillId="0" borderId="0" xfId="0">
      <alignment vertical="center"/>
    </xf>
    <xf numFmtId="0" fontId="2"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lignment vertical="center"/>
    </xf>
    <xf numFmtId="0" fontId="0" fillId="2" borderId="2" xfId="0" applyFont="1" applyFill="1" applyBorder="1" applyAlignment="1">
      <alignment horizontal="left" vertical="center" indent="1"/>
    </xf>
    <xf numFmtId="0" fontId="0" fillId="2" borderId="3" xfId="0" applyFont="1" applyFill="1" applyBorder="1" applyAlignment="1">
      <alignment horizontal="left" vertical="center" indent="1"/>
    </xf>
    <xf numFmtId="0" fontId="0" fillId="2" borderId="4" xfId="0" applyFont="1" applyFill="1" applyBorder="1" applyAlignment="1">
      <alignment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3" borderId="7" xfId="0" applyFont="1" applyFill="1" applyBorder="1" applyProtection="1">
      <alignment vertical="center"/>
      <protection locked="0"/>
    </xf>
    <xf numFmtId="0" fontId="0" fillId="3" borderId="8" xfId="0" applyFont="1" applyFill="1" applyBorder="1" applyProtection="1">
      <alignment vertical="center"/>
      <protection locked="0"/>
    </xf>
    <xf numFmtId="176" fontId="0" fillId="0" borderId="9" xfId="0" applyNumberFormat="1" applyBorder="1">
      <alignment vertical="center"/>
    </xf>
    <xf numFmtId="0" fontId="0" fillId="2" borderId="10" xfId="0" applyFont="1" applyFill="1" applyBorder="1" applyAlignment="1">
      <alignment horizontal="center" vertical="center"/>
    </xf>
    <xf numFmtId="38" fontId="0" fillId="3" borderId="10" xfId="1" applyFont="1" applyFill="1" applyBorder="1" applyProtection="1">
      <alignment vertical="center"/>
      <protection locked="0"/>
    </xf>
    <xf numFmtId="38" fontId="0" fillId="3" borderId="11" xfId="1" applyFont="1" applyFill="1" applyBorder="1" applyProtection="1">
      <alignment vertical="center"/>
      <protection locked="0"/>
    </xf>
    <xf numFmtId="38" fontId="0" fillId="0" borderId="12" xfId="1" applyFont="1" applyBorder="1">
      <alignment vertical="center"/>
    </xf>
    <xf numFmtId="0" fontId="0" fillId="2" borderId="13" xfId="0" applyFont="1" applyFill="1" applyBorder="1" applyAlignment="1">
      <alignment horizontal="center" vertical="center"/>
    </xf>
    <xf numFmtId="38" fontId="0" fillId="0" borderId="14" xfId="1" applyFont="1" applyBorder="1" applyAlignment="1">
      <alignment vertical="center"/>
    </xf>
    <xf numFmtId="38" fontId="0" fillId="0" borderId="15" xfId="1" applyFont="1" applyBorder="1" applyAlignment="1">
      <alignment vertical="center"/>
    </xf>
    <xf numFmtId="38" fontId="0" fillId="0" borderId="6" xfId="1" applyFont="1" applyBorder="1" applyAlignment="1">
      <alignment vertical="center"/>
    </xf>
    <xf numFmtId="0" fontId="0" fillId="0" borderId="0" xfId="0" applyBorder="1" applyAlignment="1">
      <alignment vertical="center" wrapTex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wrapText="1"/>
    </xf>
    <xf numFmtId="0" fontId="0" fillId="3" borderId="10" xfId="0" applyFont="1" applyFill="1" applyBorder="1" applyProtection="1">
      <alignment vertical="center"/>
      <protection locked="0"/>
    </xf>
    <xf numFmtId="176" fontId="0" fillId="0" borderId="18" xfId="0" applyNumberFormat="1" applyFont="1" applyBorder="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38" fontId="0" fillId="3" borderId="20" xfId="1" applyFont="1" applyFill="1" applyBorder="1" applyAlignment="1" applyProtection="1">
      <alignment horizontal="right" vertical="center" wrapText="1"/>
      <protection locked="0"/>
    </xf>
    <xf numFmtId="38" fontId="0" fillId="3" borderId="21" xfId="1" applyFont="1" applyFill="1" applyBorder="1" applyAlignment="1" applyProtection="1">
      <alignment horizontal="right" vertical="center" wrapText="1"/>
      <protection locked="0"/>
    </xf>
    <xf numFmtId="38" fontId="0" fillId="0" borderId="22" xfId="1" applyFont="1" applyBorder="1" applyAlignment="1">
      <alignment horizontal="right" vertical="center" wrapText="1"/>
    </xf>
    <xf numFmtId="0" fontId="0" fillId="2" borderId="22" xfId="0" applyFont="1" applyFill="1" applyBorder="1" applyAlignment="1">
      <alignment horizontal="center" vertical="center"/>
    </xf>
    <xf numFmtId="38" fontId="0" fillId="0" borderId="20" xfId="1" applyFont="1" applyBorder="1" applyAlignment="1">
      <alignment horizontal="right" vertical="center" wrapText="1"/>
    </xf>
    <xf numFmtId="38" fontId="0" fillId="0" borderId="21" xfId="1" applyFont="1" applyBorder="1" applyAlignment="1">
      <alignment horizontal="right" vertical="center" wrapText="1"/>
    </xf>
    <xf numFmtId="38" fontId="0" fillId="0" borderId="23" xfId="1" applyFont="1" applyBorder="1" applyAlignment="1">
      <alignment vertical="center"/>
    </xf>
    <xf numFmtId="0" fontId="0" fillId="2" borderId="24" xfId="0" applyFont="1" applyFill="1" applyBorder="1" applyAlignment="1">
      <alignment horizontal="center" vertical="center"/>
    </xf>
    <xf numFmtId="38" fontId="0" fillId="0" borderId="14" xfId="1" applyFont="1" applyBorder="1" applyAlignment="1">
      <alignment horizontal="right" vertical="center" wrapText="1"/>
    </xf>
    <xf numFmtId="38" fontId="0" fillId="0" borderId="15" xfId="1" applyFont="1" applyBorder="1" applyAlignment="1">
      <alignment horizontal="right" vertical="center" wrapText="1"/>
    </xf>
    <xf numFmtId="38" fontId="0" fillId="0" borderId="6" xfId="1" applyFont="1" applyBorder="1" applyAlignment="1">
      <alignment horizontal="right"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xf>
    <xf numFmtId="38" fontId="0" fillId="0" borderId="2" xfId="1" applyFont="1" applyBorder="1" applyAlignment="1">
      <alignment horizontal="right" vertical="center" wrapText="1"/>
    </xf>
    <xf numFmtId="38" fontId="0" fillId="0" borderId="3" xfId="1" applyFont="1" applyBorder="1" applyAlignment="1">
      <alignment horizontal="right" vertical="center" wrapText="1"/>
    </xf>
    <xf numFmtId="38" fontId="0" fillId="0" borderId="1" xfId="1" applyFont="1" applyBorder="1" applyAlignment="1">
      <alignment horizontal="right" vertical="center" wrapText="1"/>
    </xf>
    <xf numFmtId="38" fontId="0" fillId="0" borderId="2" xfId="1" applyFont="1" applyBorder="1" applyAlignment="1">
      <alignment vertical="center"/>
    </xf>
    <xf numFmtId="38" fontId="0" fillId="0" borderId="26" xfId="1" applyFont="1" applyBorder="1" applyAlignment="1">
      <alignment horizontal="right" vertical="center" wrapText="1"/>
    </xf>
    <xf numFmtId="0" fontId="0" fillId="2" borderId="26" xfId="0" applyFont="1" applyFill="1" applyBorder="1" applyAlignment="1">
      <alignment horizontal="center" vertical="center" wrapText="1"/>
    </xf>
    <xf numFmtId="0" fontId="0" fillId="2" borderId="25" xfId="0" applyFont="1" applyFill="1" applyBorder="1" applyAlignment="1">
      <alignment horizontal="center" vertical="center"/>
    </xf>
    <xf numFmtId="38" fontId="0" fillId="0" borderId="27" xfId="1" applyFont="1" applyBorder="1">
      <alignment vertical="center"/>
    </xf>
    <xf numFmtId="38" fontId="0" fillId="0" borderId="2" xfId="1" applyFont="1" applyBorder="1">
      <alignment vertical="center"/>
    </xf>
    <xf numFmtId="38" fontId="0" fillId="0" borderId="3" xfId="1" applyFont="1" applyBorder="1">
      <alignment vertical="center"/>
    </xf>
    <xf numFmtId="38" fontId="0" fillId="0" borderId="28" xfId="1" applyFont="1" applyBorder="1">
      <alignment vertical="center"/>
    </xf>
    <xf numFmtId="38" fontId="0" fillId="0" borderId="16" xfId="1" applyFont="1" applyBorder="1">
      <alignment vertical="center"/>
    </xf>
    <xf numFmtId="38" fontId="0" fillId="0" borderId="29" xfId="1" applyFont="1" applyBorder="1">
      <alignment vertical="center"/>
    </xf>
    <xf numFmtId="38" fontId="0" fillId="0" borderId="30" xfId="1" applyFont="1" applyBorder="1">
      <alignment vertical="center"/>
    </xf>
    <xf numFmtId="0" fontId="0" fillId="4" borderId="2" xfId="0" applyFill="1" applyBorder="1" applyAlignment="1">
      <alignment horizontal="center" vertical="center"/>
    </xf>
    <xf numFmtId="0" fontId="0" fillId="0" borderId="2" xfId="0" applyBorder="1" applyAlignment="1">
      <alignment horizontal="center" vertical="center"/>
    </xf>
    <xf numFmtId="38" fontId="0" fillId="0" borderId="31" xfId="1" applyFont="1" applyBorder="1">
      <alignment vertical="center"/>
    </xf>
    <xf numFmtId="38" fontId="0" fillId="0" borderId="10" xfId="1" applyFont="1" applyBorder="1">
      <alignment vertical="center"/>
    </xf>
    <xf numFmtId="38" fontId="0" fillId="0" borderId="11" xfId="1" applyFont="1" applyBorder="1">
      <alignment vertical="center"/>
    </xf>
    <xf numFmtId="38" fontId="0" fillId="0" borderId="32" xfId="1" applyFont="1" applyBorder="1">
      <alignment vertical="center"/>
    </xf>
    <xf numFmtId="38" fontId="0" fillId="0" borderId="20" xfId="1" applyFont="1" applyBorder="1">
      <alignment vertical="center"/>
    </xf>
    <xf numFmtId="38" fontId="0" fillId="0" borderId="21" xfId="1" applyFont="1" applyBorder="1">
      <alignment vertical="center"/>
    </xf>
    <xf numFmtId="38" fontId="0" fillId="0" borderId="22" xfId="1" applyFont="1" applyBorder="1">
      <alignment vertical="center"/>
    </xf>
    <xf numFmtId="0" fontId="0" fillId="2" borderId="7" xfId="0" applyFont="1" applyFill="1" applyBorder="1" applyAlignment="1">
      <alignment horizontal="center" vertical="center"/>
    </xf>
    <xf numFmtId="38" fontId="0" fillId="0" borderId="33"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6" xfId="1" applyFont="1" applyBorder="1">
      <alignment vertical="center"/>
    </xf>
    <xf numFmtId="0" fontId="2" fillId="0" borderId="0" xfId="0" applyFont="1" applyBorder="1" applyAlignment="1">
      <alignment vertical="center" wrapText="1"/>
    </xf>
    <xf numFmtId="0" fontId="0" fillId="0" borderId="0" xfId="0" applyBorder="1" applyAlignment="1">
      <alignment vertical="center"/>
    </xf>
    <xf numFmtId="0" fontId="0" fillId="0" borderId="1" xfId="0" applyFont="1" applyBorder="1" applyAlignment="1">
      <alignment horizontal="right" vertical="center"/>
    </xf>
    <xf numFmtId="38" fontId="0" fillId="0" borderId="13" xfId="1" applyFont="1" applyBorder="1">
      <alignment vertical="center"/>
    </xf>
    <xf numFmtId="38" fontId="0" fillId="0" borderId="25" xfId="1" applyFont="1" applyBorder="1">
      <alignment vertical="center"/>
    </xf>
    <xf numFmtId="177" fontId="0" fillId="0" borderId="34" xfId="1" applyNumberFormat="1" applyFont="1" applyBorder="1">
      <alignment vertical="center"/>
    </xf>
    <xf numFmtId="177" fontId="0" fillId="0" borderId="1" xfId="1"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208915</xdr:colOff>
      <xdr:row>10</xdr:row>
      <xdr:rowOff>220345</xdr:rowOff>
    </xdr:from>
    <xdr:to xmlns:xdr="http://schemas.openxmlformats.org/drawingml/2006/spreadsheetDrawing">
      <xdr:col>17</xdr:col>
      <xdr:colOff>593725</xdr:colOff>
      <xdr:row>31</xdr:row>
      <xdr:rowOff>39370</xdr:rowOff>
    </xdr:to>
    <xdr:sp macro="" textlink="">
      <xdr:nvSpPr>
        <xdr:cNvPr id="5" name="テキスト 3"/>
        <xdr:cNvSpPr txBox="1"/>
      </xdr:nvSpPr>
      <xdr:spPr>
        <a:xfrm>
          <a:off x="208915" y="2630170"/>
          <a:ext cx="15815310" cy="2676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000" b="1"/>
            <a:t>入力手順</a:t>
          </a:r>
          <a:r>
            <a:rPr kumimoji="1" lang="ja-JP" altLang="en-US" sz="900" b="0"/>
            <a:t>（黄色のセルに入力します）</a:t>
          </a:r>
          <a:endParaRPr kumimoji="1" lang="ja-JP" altLang="en-US" sz="900"/>
        </a:p>
        <a:p>
          <a:r>
            <a:rPr kumimoji="1" lang="ja-JP" altLang="en-US" sz="900"/>
            <a:t>1　世帯主の年齢をプルダウンリストから選択してください。世帯主が国保に加入しない場合</a:t>
          </a:r>
          <a:r>
            <a:rPr kumimoji="1" lang="ja-JP" altLang="en-US" sz="900" baseline="30000"/>
            <a:t>※</a:t>
          </a:r>
          <a:r>
            <a:rPr kumimoji="1" lang="ja-JP" altLang="en-US" sz="900"/>
            <a:t>は上、加入する場合は下の行を選択してください。</a:t>
          </a:r>
          <a:endParaRPr kumimoji="1" lang="ja-JP" altLang="en-US" sz="900"/>
        </a:p>
        <a:p>
          <a:r>
            <a:rPr kumimoji="1" lang="ja-JP" altLang="en-US" sz="900"/>
            <a:t>　　</a:t>
          </a:r>
          <a:r>
            <a:rPr kumimoji="1" lang="ja-JP" altLang="en-US" sz="900" b="0" u="none"/>
            <a:t>※世帯主が加入しない場合とは、世帯主が社会保険や後期高齢者等、別の健康保険制度に加入している場合です。</a:t>
          </a:r>
          <a:endParaRPr kumimoji="1" lang="ja-JP" altLang="en-US" sz="900" b="0" u="none"/>
        </a:p>
        <a:p>
          <a:r>
            <a:rPr kumimoji="1" lang="ja-JP" altLang="en-US" sz="900"/>
            <a:t>2　世帯主の</a:t>
          </a:r>
          <a:r>
            <a:rPr kumimoji="1" lang="ja-JP" altLang="en-US" sz="900" u="sng"/>
            <a:t>令和6年1月～12月の</a:t>
          </a:r>
          <a:r>
            <a:rPr kumimoji="1" lang="ja-JP" altLang="en-US" sz="900"/>
            <a:t>給与収入と年金収入について、</a:t>
          </a:r>
          <a:r>
            <a:rPr kumimoji="1" lang="ja-JP" altLang="en-US" sz="900" b="1"/>
            <a:t>所得控除前の支払金額を入力</a:t>
          </a:r>
          <a:r>
            <a:rPr kumimoji="1" lang="ja-JP" altLang="en-US" sz="900"/>
            <a:t>してください。年金収入のある方は令和7年1月1日時点の年齢を選択してください。</a:t>
          </a:r>
          <a:endParaRPr kumimoji="1" lang="ja-JP" altLang="en-US" sz="900"/>
        </a:p>
        <a:p>
          <a:r>
            <a:rPr kumimoji="1" lang="ja-JP" altLang="en-US" sz="900"/>
            <a:t>3　</a:t>
          </a:r>
          <a:r>
            <a:rPr kumimoji="1" lang="ja-JP" altLang="en-US" sz="900"/>
            <a:t>以下、国民健康保険に加入する世帯員について、同様に入力してください。</a:t>
          </a:r>
          <a:endParaRPr kumimoji="1" lang="ja-JP" altLang="en-US" sz="900"/>
        </a:p>
        <a:p>
          <a:endParaRPr kumimoji="1" lang="ja-JP" altLang="en-US" sz="900"/>
        </a:p>
        <a:p>
          <a:r>
            <a:rPr kumimoji="1" lang="ja-JP" altLang="en-US" sz="1000" b="1"/>
            <a:t>注意</a:t>
          </a:r>
          <a:endParaRPr kumimoji="1" lang="ja-JP" altLang="en-US" sz="900" b="1"/>
        </a:p>
        <a:p>
          <a:r>
            <a:rPr kumimoji="1" lang="ja-JP" altLang="en-US" sz="900"/>
            <a:t>・Exel2013以前のバージョンではご使用になれません。</a:t>
          </a:r>
          <a:endParaRPr kumimoji="1" lang="ja-JP" altLang="en-US" sz="900"/>
        </a:p>
        <a:p>
          <a:r>
            <a:rPr kumimoji="1" lang="ja-JP" altLang="en-US" sz="900"/>
            <a:t>・給与と年金以外の収入がある場合は、この試算表</a:t>
          </a:r>
          <a:r>
            <a:rPr kumimoji="1" lang="ja-JP" altLang="en-US" sz="900"/>
            <a:t>は使えません。</a:t>
          </a:r>
          <a:endParaRPr kumimoji="1" lang="ja-JP" altLang="en-US" sz="900"/>
        </a:p>
        <a:p>
          <a:r>
            <a:rPr kumimoji="1" lang="ja-JP" altLang="en-US" sz="900"/>
            <a:t>・軽減判定に影響するため、世帯主が国保に加入しない場合でも、（加入しない場合）の行へ必ず入力してください。</a:t>
          </a:r>
          <a:endParaRPr kumimoji="1" lang="ja-JP" altLang="en-US" sz="900"/>
        </a:p>
        <a:p>
          <a:r>
            <a:rPr kumimoji="1" lang="ja-JP" altLang="en-US" sz="900"/>
            <a:t>・軽減判定は世帯主と国保加入者全員が、所得申告をしていることが前提となります。</a:t>
          </a:r>
          <a:endParaRPr kumimoji="1" lang="ja-JP" altLang="en-US" sz="900"/>
        </a:p>
        <a:p>
          <a:r>
            <a:rPr kumimoji="1" lang="ja-JP" altLang="en-US" sz="900"/>
            <a:t>・</a:t>
          </a:r>
          <a:r>
            <a:rPr kumimoji="1" lang="ja-JP" altLang="en-US" sz="900" b="1" u="sng"/>
            <a:t>あくまで目安としてご活用いただくことを想定した簡単な試算表であり、実際の決定額と異なる場合がありますので、ご了承の上ご使用ください。</a:t>
          </a:r>
          <a:endParaRPr kumimoji="1" lang="ja-JP" altLang="en-US" sz="900" b="1" u="sng"/>
        </a:p>
        <a:p>
          <a:endParaRPr kumimoji="1" lang="ja-JP" altLang="en-US" sz="900"/>
        </a:p>
        <a:p>
          <a:endParaRPr kumimoji="1" lang="ja-JP" altLang="en-US" sz="10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31"/>
  <sheetViews>
    <sheetView showGridLines="0" tabSelected="1" workbookViewId="0">
      <selection activeCell="B4" sqref="B4"/>
    </sheetView>
  </sheetViews>
  <sheetFormatPr defaultRowHeight="18.75"/>
  <cols>
    <col min="1" max="1" width="25.75" bestFit="1" customWidth="1"/>
    <col min="2" max="2" width="10" customWidth="1"/>
    <col min="3" max="4" width="10.875" customWidth="1"/>
    <col min="5" max="5" width="11.125" bestFit="1" customWidth="1"/>
    <col min="6" max="6" width="10.875" customWidth="1"/>
    <col min="7" max="7" width="10.875" hidden="1" customWidth="1"/>
    <col min="8" max="8" width="10.875" customWidth="1"/>
    <col min="9" max="9" width="13.25" hidden="1" bestFit="1" customWidth="1"/>
    <col min="10" max="11" width="9.125" hidden="1" bestFit="1" customWidth="1"/>
    <col min="12" max="12" width="11.125" hidden="1" bestFit="1" customWidth="1"/>
    <col min="13" max="13" width="10.125" hidden="1" customWidth="1"/>
    <col min="14" max="14" width="15.25" bestFit="1" customWidth="1"/>
    <col min="15" max="15" width="15.25" hidden="1" bestFit="1" customWidth="1"/>
    <col min="25" max="25" width="16.25" bestFit="1" customWidth="1"/>
  </cols>
  <sheetData>
    <row r="1" spans="1:25">
      <c r="A1" s="1" t="s">
        <v>33</v>
      </c>
      <c r="B1" s="1"/>
      <c r="C1" s="1"/>
      <c r="D1" s="1"/>
      <c r="E1" s="1"/>
      <c r="F1" s="1"/>
      <c r="G1" s="1"/>
      <c r="H1" s="1"/>
      <c r="I1" s="1"/>
      <c r="J1" s="1"/>
      <c r="K1" s="1"/>
      <c r="L1" s="1"/>
      <c r="M1" s="1"/>
      <c r="N1" s="1"/>
      <c r="O1" s="1"/>
      <c r="P1" s="1"/>
      <c r="Q1" s="1"/>
      <c r="R1" s="1"/>
      <c r="S1" s="1"/>
      <c r="T1" s="1"/>
      <c r="U1" s="1"/>
      <c r="V1" s="1"/>
      <c r="W1" s="1"/>
      <c r="X1" s="1"/>
      <c r="Y1" s="1"/>
    </row>
    <row r="2" spans="1:25">
      <c r="A2" s="2"/>
      <c r="B2" s="7" t="s">
        <v>35</v>
      </c>
      <c r="C2" s="2" t="s">
        <v>12</v>
      </c>
      <c r="D2" s="2"/>
      <c r="E2" s="21" t="s">
        <v>32</v>
      </c>
      <c r="F2" s="25"/>
      <c r="G2" s="25"/>
      <c r="H2" s="34"/>
      <c r="I2" s="38" t="s">
        <v>11</v>
      </c>
      <c r="J2" s="38" t="s">
        <v>18</v>
      </c>
      <c r="K2" s="38" t="s">
        <v>15</v>
      </c>
      <c r="L2" s="46" t="s">
        <v>13</v>
      </c>
      <c r="M2" s="46" t="s">
        <v>1</v>
      </c>
      <c r="N2" s="46" t="s">
        <v>10</v>
      </c>
      <c r="O2" s="46" t="s">
        <v>8</v>
      </c>
      <c r="P2" s="21" t="s">
        <v>9</v>
      </c>
      <c r="Q2" s="25"/>
      <c r="R2" s="34"/>
      <c r="S2" s="21" t="s">
        <v>5</v>
      </c>
      <c r="T2" s="25"/>
      <c r="U2" s="34"/>
      <c r="V2" s="21" t="s">
        <v>0</v>
      </c>
      <c r="W2" s="25"/>
      <c r="X2" s="34"/>
      <c r="Y2" s="38" t="s">
        <v>19</v>
      </c>
    </row>
    <row r="3" spans="1:25">
      <c r="A3" s="2"/>
      <c r="B3" s="8"/>
      <c r="C3" s="12" t="s">
        <v>29</v>
      </c>
      <c r="D3" s="16" t="s">
        <v>31</v>
      </c>
      <c r="E3" s="22" t="s">
        <v>34</v>
      </c>
      <c r="F3" s="26" t="s">
        <v>29</v>
      </c>
      <c r="G3" s="30" t="s">
        <v>7</v>
      </c>
      <c r="H3" s="16" t="s">
        <v>31</v>
      </c>
      <c r="I3" s="39"/>
      <c r="J3" s="39"/>
      <c r="K3" s="45"/>
      <c r="L3" s="39"/>
      <c r="M3" s="39"/>
      <c r="N3" s="39"/>
      <c r="O3" s="39"/>
      <c r="P3" s="12" t="s">
        <v>3</v>
      </c>
      <c r="Q3" s="26" t="s">
        <v>4</v>
      </c>
      <c r="R3" s="63" t="s">
        <v>2</v>
      </c>
      <c r="S3" s="12" t="s">
        <v>3</v>
      </c>
      <c r="T3" s="26" t="s">
        <v>4</v>
      </c>
      <c r="U3" s="63" t="s">
        <v>2</v>
      </c>
      <c r="V3" s="12" t="s">
        <v>3</v>
      </c>
      <c r="W3" s="26" t="s">
        <v>4</v>
      </c>
      <c r="X3" s="63" t="s">
        <v>2</v>
      </c>
      <c r="Y3" s="39"/>
    </row>
    <row r="4" spans="1:25">
      <c r="A4" s="3" t="s">
        <v>22</v>
      </c>
      <c r="B4" s="9"/>
      <c r="C4" s="13"/>
      <c r="D4" s="17">
        <f t="shared" ref="D4:D9" si="0">_xlfn.IFS(C4&lt;=550999,0,AND(C4&gt;=551000,C4&lt;=1618999),C4-550000,AND(C4&gt;=1619000,C4&lt;=1619999),1069000,AND(C4&gt;=1620000,C4&lt;=1621999),1070000,AND(C4&gt;=1622000,C4&lt;=1623999),1072000,AND(C4&gt;=1624000,C4&lt;=1627999),1074000,AND(C4&gt;=1628000,C4&lt;=1799999),(ROUNDDOWN(C4/4,-3))*2.4+100000,AND(C4&gt;=1800000,C4&lt;=3599999),(ROUNDDOWN(C4/4,-3))*2.8-80000,AND(C4&gt;=3600000,C4&lt;=6599999),(ROUNDDOWN(C4/4,-3))*3.2-440000,AND(C4&gt;=6600000,C4&lt;=8499999),C4*0.9-1100000,C4&gt;=8500000,C4-1950000,C4="",0)</f>
        <v>0</v>
      </c>
      <c r="E4" s="23"/>
      <c r="F4" s="27"/>
      <c r="G4" s="31">
        <f t="shared" ref="G4:G9" si="1">IF(E4="65歳以上",IF(F4&lt;=3300000,1100000,IF(F4&lt;=4100000,F4*0.25+275000,IF(F4&lt;=7700000,F4*0.15+685000,IF(F4&lt;=10000000,F4*0.05+1455000,IF(F4&gt;=10000001,1955000))))),IF(F4&lt;=1300000,600000,IF(F4&lt;=4100000,F4*0.25+275000,IF(F4&lt;=7700000,F4*0.15+685000,IF(F4&lt;=10000000,F4*0.05+1455000,IF(F4&gt;=10000001,1955000))))))</f>
        <v>600000</v>
      </c>
      <c r="H4" s="35">
        <f t="shared" ref="H4:H9" si="2">IF(F4-G4&lt;1,0,F4-G4)</f>
        <v>0</v>
      </c>
      <c r="I4" s="40">
        <f t="shared" ref="I4:I9" si="3">_xlfn.IFS(H4=0,0,E4="65歳未満",H4,E4="65歳以上",IF(H4&lt;=150000,0,H4-150000))</f>
        <v>0</v>
      </c>
      <c r="J4" s="43" t="str">
        <f t="shared" ref="J4:J9" si="4">_xlfn.IFS(D4&gt;=1,1,H4&gt;=1,1,D4=0,"",H4=0,"")</f>
        <v/>
      </c>
      <c r="K4" s="43">
        <f t="shared" ref="K4:K9" si="5">_xlfn.IFS(AND(D4&gt;=100000,H4&gt;=100000),100000,AND(D4&gt;=100000,H4&lt;100000),H4,AND(D4&lt;100000,H4&gt;=100000),D4,AND(D4&lt;100000,H4&lt;100000),IF(D4+H4&gt;=100000,D4+H4-100000,0))</f>
        <v>0</v>
      </c>
      <c r="L4" s="40">
        <f t="shared" ref="L4:L9" si="6">D4+H4-K4</f>
        <v>0</v>
      </c>
      <c r="M4" s="47"/>
      <c r="N4" s="47"/>
      <c r="O4" s="51">
        <f t="shared" ref="O4:O9" si="7">D4+I4-K4</f>
        <v>0</v>
      </c>
      <c r="P4" s="56"/>
      <c r="Q4" s="59"/>
      <c r="R4" s="64"/>
      <c r="S4" s="56"/>
      <c r="T4" s="59"/>
      <c r="U4" s="64"/>
      <c r="V4" s="56"/>
      <c r="W4" s="59"/>
      <c r="X4" s="64"/>
      <c r="Y4" s="47"/>
    </row>
    <row r="5" spans="1:25">
      <c r="A5" s="3" t="s">
        <v>25</v>
      </c>
      <c r="B5" s="9"/>
      <c r="C5" s="13"/>
      <c r="D5" s="17">
        <f t="shared" si="0"/>
        <v>0</v>
      </c>
      <c r="E5" s="23"/>
      <c r="F5" s="27"/>
      <c r="G5" s="31">
        <f t="shared" si="1"/>
        <v>600000</v>
      </c>
      <c r="H5" s="35">
        <f t="shared" si="2"/>
        <v>0</v>
      </c>
      <c r="I5" s="40">
        <f t="shared" si="3"/>
        <v>0</v>
      </c>
      <c r="J5" s="43" t="str">
        <f t="shared" si="4"/>
        <v/>
      </c>
      <c r="K5" s="43">
        <f t="shared" si="5"/>
        <v>0</v>
      </c>
      <c r="L5" s="40">
        <f t="shared" si="6"/>
        <v>0</v>
      </c>
      <c r="M5" s="48">
        <f>IF(L5&lt;=24000000,430000,IF(L5&lt;=24500000,290000,IF(L5&lt;=25000000,150000,0)))</f>
        <v>430000</v>
      </c>
      <c r="N5" s="51">
        <f>IF(L5-M5&lt;1,0,L5-M5)</f>
        <v>0</v>
      </c>
      <c r="O5" s="51">
        <f t="shared" si="7"/>
        <v>0</v>
      </c>
      <c r="P5" s="57">
        <f>N5*0.0692</f>
        <v>0</v>
      </c>
      <c r="Q5" s="60">
        <f>_xlfn.IFS(B5="未就学児",IF($O$13="〇",17750*0.3,IF($O$16="〇",17750*0.5,IF($O$19="〇",17750*0.8,17750))),OR(B5="39歳以下",B5="40～64歳",B5="65～74歳"),IF($O$13="〇",35500*0.3,IF($O$16="〇",35500*0.5,IF($O$19="〇",35500*0.8,35500))),B5="",0)</f>
        <v>0</v>
      </c>
      <c r="R5" s="65">
        <f>P5+Q5</f>
        <v>0</v>
      </c>
      <c r="S5" s="57">
        <f>N5*0.0276</f>
        <v>0</v>
      </c>
      <c r="T5" s="60">
        <f>_xlfn.IFS(B5="未就学児",IF($O$13="〇",8000*0.3,IF($O$16="〇",8000*0.5,IF($O$19="〇",8000*0.8,8000))),OR(B5="39歳以下",B5="40～64歳",B5="65～74歳"),IF($O$13="〇",16000*0.3,IF($O$16="〇",16000*0.5,IF($O$19="〇",16000*0.8,16000))),B5="",0)</f>
        <v>0</v>
      </c>
      <c r="U5" s="65">
        <f>S5+T5</f>
        <v>0</v>
      </c>
      <c r="V5" s="57">
        <f>IF(B5="",0,IF(B5="40～64歳",N5*0.023,0))</f>
        <v>0</v>
      </c>
      <c r="W5" s="60">
        <f>_xlfn.IFS(B5="40～64歳",IF($O$13="〇",16000*0.3,IF($O$16="〇",16000*0.5,IF($O$19="〇",16000*0.8,16000))),B5&lt;&gt;"40～64歳",0)</f>
        <v>0</v>
      </c>
      <c r="X5" s="65">
        <f>V5+W5</f>
        <v>0</v>
      </c>
      <c r="Y5" s="48">
        <f t="shared" ref="Y5:Y10" si="8">R5+U5+X5</f>
        <v>0</v>
      </c>
    </row>
    <row r="6" spans="1:25">
      <c r="A6" s="4" t="s">
        <v>23</v>
      </c>
      <c r="B6" s="9"/>
      <c r="C6" s="13"/>
      <c r="D6" s="17">
        <f t="shared" si="0"/>
        <v>0</v>
      </c>
      <c r="E6" s="23"/>
      <c r="F6" s="27"/>
      <c r="G6" s="31">
        <f t="shared" si="1"/>
        <v>600000</v>
      </c>
      <c r="H6" s="35">
        <f t="shared" si="2"/>
        <v>0</v>
      </c>
      <c r="I6" s="40">
        <f t="shared" si="3"/>
        <v>0</v>
      </c>
      <c r="J6" s="40" t="str">
        <f t="shared" si="4"/>
        <v/>
      </c>
      <c r="K6" s="40">
        <f t="shared" si="5"/>
        <v>0</v>
      </c>
      <c r="L6" s="40">
        <f t="shared" si="6"/>
        <v>0</v>
      </c>
      <c r="M6" s="48">
        <f>IF(L6&lt;=24000000,430000,IF(L6&lt;=24500000,290000,IF(L6&lt;=25000000,150000,0)))</f>
        <v>430000</v>
      </c>
      <c r="N6" s="51">
        <f>IF(L6-M6&lt;1,0,L6-M6)</f>
        <v>0</v>
      </c>
      <c r="O6" s="51">
        <f t="shared" si="7"/>
        <v>0</v>
      </c>
      <c r="P6" s="57">
        <f>N6*0.0692</f>
        <v>0</v>
      </c>
      <c r="Q6" s="60">
        <f>_xlfn.IFS(B6="未就学児",IF($O$13="〇",17750*0.3,IF($O$16="〇",17750*0.5,IF($O$19="〇",17750*0.8,17750))),OR(B6="7～39歳",B6="40～64歳",B6="65～74歳"),IF($O$13="〇",35500*0.3,IF($O$16="〇",35500*0.5,IF($O$19="〇",35500*0.8,35500))),B6="",0)</f>
        <v>0</v>
      </c>
      <c r="R6" s="65">
        <f>P6+Q6</f>
        <v>0</v>
      </c>
      <c r="S6" s="57">
        <f>N6*0.0276</f>
        <v>0</v>
      </c>
      <c r="T6" s="60">
        <f>_xlfn.IFS(B6="未就学児",IF($O$13="〇",8000*0.3,IF($O$16="〇",8000*0.5,IF($O$19="〇",8000*0.8,8000))),OR(B6="7～39歳",B6="40～64歳",B6="65～74歳"),IF($O$13="〇",16000*0.3,IF($O$16="〇",16000*0.5,IF($O$19="〇",16000*0.8,16000))),B6="",0)</f>
        <v>0</v>
      </c>
      <c r="U6" s="65">
        <f>S6+T6</f>
        <v>0</v>
      </c>
      <c r="V6" s="57">
        <f>IF(B6="",0,IF(B6="40～64歳",N6*0.023,0))</f>
        <v>0</v>
      </c>
      <c r="W6" s="60">
        <f>_xlfn.IFS(B6="40～64歳",IF($O$13="〇",16000*0.3,IF($O$16="〇",16000*0.5,IF($O$19="〇",16000*0.8,16000))),B6&lt;&gt;"40～64歳",0)</f>
        <v>0</v>
      </c>
      <c r="X6" s="65">
        <f>V6+W6</f>
        <v>0</v>
      </c>
      <c r="Y6" s="48">
        <f t="shared" si="8"/>
        <v>0</v>
      </c>
    </row>
    <row r="7" spans="1:25">
      <c r="A7" s="4" t="s">
        <v>26</v>
      </c>
      <c r="B7" s="9"/>
      <c r="C7" s="13"/>
      <c r="D7" s="17">
        <f t="shared" si="0"/>
        <v>0</v>
      </c>
      <c r="E7" s="23"/>
      <c r="F7" s="27"/>
      <c r="G7" s="31">
        <f t="shared" si="1"/>
        <v>600000</v>
      </c>
      <c r="H7" s="35">
        <f t="shared" si="2"/>
        <v>0</v>
      </c>
      <c r="I7" s="40">
        <f t="shared" si="3"/>
        <v>0</v>
      </c>
      <c r="J7" s="40" t="str">
        <f t="shared" si="4"/>
        <v/>
      </c>
      <c r="K7" s="40">
        <f t="shared" si="5"/>
        <v>0</v>
      </c>
      <c r="L7" s="40">
        <f t="shared" si="6"/>
        <v>0</v>
      </c>
      <c r="M7" s="48">
        <f>IF(L7&lt;=24000000,430000,IF(L7&lt;=24500000,290000,IF(L7&lt;=25000000,150000,0)))</f>
        <v>430000</v>
      </c>
      <c r="N7" s="51">
        <f>IF(L7-M7&lt;1,0,L7-M7)</f>
        <v>0</v>
      </c>
      <c r="O7" s="51">
        <f t="shared" si="7"/>
        <v>0</v>
      </c>
      <c r="P7" s="57">
        <f>N7*0.0692</f>
        <v>0</v>
      </c>
      <c r="Q7" s="60">
        <f>_xlfn.IFS(B7="未就学児",IF($O$13="〇",17750*0.3,IF($O$16="〇",17750*0.5,IF($O$19="〇",17750*0.8,17750))),OR(B7="7～39歳",B7="40～64歳",B7="65～74歳"),IF($O$13="〇",35500*0.3,IF($O$16="〇",35500*0.5,IF($O$19="〇",35500*0.8,35500))),B7="",0)</f>
        <v>0</v>
      </c>
      <c r="R7" s="65">
        <f>P7+Q7</f>
        <v>0</v>
      </c>
      <c r="S7" s="57">
        <f>N7*0.0276</f>
        <v>0</v>
      </c>
      <c r="T7" s="60">
        <f>_xlfn.IFS(B7="未就学児",IF($O$13="〇",8000*0.3,IF($O$16="〇",8000*0.5,IF($O$19="〇",8000*0.8,8000))),OR(B7="7～39歳",B7="40～64歳",B7="65～74歳"),IF($O$13="〇",16000*0.3,IF($O$16="〇",16000*0.5,IF($O$19="〇",16000*0.8,16000))),B7="",0)</f>
        <v>0</v>
      </c>
      <c r="U7" s="65">
        <f>S7+T7</f>
        <v>0</v>
      </c>
      <c r="V7" s="57">
        <f>IF(B7="",0,IF(B7="40～64歳",N7*0.023,0))</f>
        <v>0</v>
      </c>
      <c r="W7" s="60">
        <f>_xlfn.IFS(B7="40～64歳",IF($O$13="〇",16000*0.3,IF($O$16="〇",16000*0.5,IF($O$19="〇",16000*0.8,16000))),B7&lt;&gt;"40～64歳",0)</f>
        <v>0</v>
      </c>
      <c r="X7" s="65">
        <f>V7+W7</f>
        <v>0</v>
      </c>
      <c r="Y7" s="48">
        <f t="shared" si="8"/>
        <v>0</v>
      </c>
    </row>
    <row r="8" spans="1:25">
      <c r="A8" s="4" t="s">
        <v>17</v>
      </c>
      <c r="B8" s="9"/>
      <c r="C8" s="13"/>
      <c r="D8" s="17">
        <f t="shared" si="0"/>
        <v>0</v>
      </c>
      <c r="E8" s="23"/>
      <c r="F8" s="27"/>
      <c r="G8" s="31">
        <f t="shared" si="1"/>
        <v>600000</v>
      </c>
      <c r="H8" s="35">
        <f t="shared" si="2"/>
        <v>0</v>
      </c>
      <c r="I8" s="40">
        <f t="shared" si="3"/>
        <v>0</v>
      </c>
      <c r="J8" s="40" t="str">
        <f t="shared" si="4"/>
        <v/>
      </c>
      <c r="K8" s="40">
        <f t="shared" si="5"/>
        <v>0</v>
      </c>
      <c r="L8" s="40">
        <f t="shared" si="6"/>
        <v>0</v>
      </c>
      <c r="M8" s="48">
        <f>IF(L8&lt;=24000000,430000,IF(L8&lt;=24500000,290000,IF(L8&lt;=25000000,150000,0)))</f>
        <v>430000</v>
      </c>
      <c r="N8" s="51">
        <f>IF(L8-M8&lt;1,0,L8-M8)</f>
        <v>0</v>
      </c>
      <c r="O8" s="51">
        <f t="shared" si="7"/>
        <v>0</v>
      </c>
      <c r="P8" s="57">
        <f>N8*0.0692</f>
        <v>0</v>
      </c>
      <c r="Q8" s="60">
        <f>_xlfn.IFS(B8="未就学児",IF($O$13="〇",17750*0.3,IF($O$16="〇",17750*0.5,IF($O$19="〇",17750*0.8,17750))),OR(B8="7～39歳",B8="40～64歳",B8="65～74歳"),IF($O$13="〇",35500*0.3,IF($O$16="〇",35500*0.5,IF($O$19="〇",35500*0.8,35500))),B8="",0)</f>
        <v>0</v>
      </c>
      <c r="R8" s="65">
        <f>P8+Q8</f>
        <v>0</v>
      </c>
      <c r="S8" s="57">
        <f>N8*0.0276</f>
        <v>0</v>
      </c>
      <c r="T8" s="60">
        <f>_xlfn.IFS(B8="未就学児",IF($O$13="〇",8000*0.3,IF($O$16="〇",8000*0.5,IF($O$19="〇",8000*0.8,8000))),OR(B8="7～39歳",B8="40～64歳",B8="65～74歳"),IF($O$13="〇",16000*0.3,IF($O$16="〇",16000*0.5,IF($O$19="〇",16000*0.8,16000))),B8="",0)</f>
        <v>0</v>
      </c>
      <c r="U8" s="65">
        <f>S8+T8</f>
        <v>0</v>
      </c>
      <c r="V8" s="57">
        <f>IF(B8="",0,IF(B8="40～64歳",N8*0.023,0))</f>
        <v>0</v>
      </c>
      <c r="W8" s="60">
        <f>_xlfn.IFS(B8="40～64歳",IF($O$13="〇",16000*0.3,IF($O$16="〇",16000*0.5,IF($O$19="〇",16000*0.8,16000))),B8&lt;&gt;"40～64歳",0)</f>
        <v>0</v>
      </c>
      <c r="X8" s="65">
        <f>V8+W8</f>
        <v>0</v>
      </c>
      <c r="Y8" s="48">
        <f t="shared" si="8"/>
        <v>0</v>
      </c>
    </row>
    <row r="9" spans="1:25" ht="19.5">
      <c r="A9" s="5" t="s">
        <v>21</v>
      </c>
      <c r="B9" s="10"/>
      <c r="C9" s="14"/>
      <c r="D9" s="18">
        <f t="shared" si="0"/>
        <v>0</v>
      </c>
      <c r="E9" s="23"/>
      <c r="F9" s="28"/>
      <c r="G9" s="32">
        <f t="shared" si="1"/>
        <v>600000</v>
      </c>
      <c r="H9" s="36">
        <f t="shared" si="2"/>
        <v>0</v>
      </c>
      <c r="I9" s="41">
        <f t="shared" si="3"/>
        <v>0</v>
      </c>
      <c r="J9" s="41" t="str">
        <f t="shared" si="4"/>
        <v/>
      </c>
      <c r="K9" s="41">
        <f t="shared" si="5"/>
        <v>0</v>
      </c>
      <c r="L9" s="41">
        <f t="shared" si="6"/>
        <v>0</v>
      </c>
      <c r="M9" s="49">
        <f>IF(L9&lt;=24000000,430000,IF(L9&lt;=24500000,290000,IF(L9&lt;=25000000,150000,0)))</f>
        <v>430000</v>
      </c>
      <c r="N9" s="52">
        <f>IF(L9-M9&lt;1,0,L9-M9)</f>
        <v>0</v>
      </c>
      <c r="O9" s="52">
        <f t="shared" si="7"/>
        <v>0</v>
      </c>
      <c r="P9" s="58">
        <f>N9*0.0692</f>
        <v>0</v>
      </c>
      <c r="Q9" s="61">
        <f>_xlfn.IFS(B9="未就学児",IF($O$13="〇",17750*0.3,IF($O$16="〇",17750*0.5,IF($O$19="〇",17750*0.8,17750))),OR(B9="7～39歳",B9="40～64歳",B9="65～74歳"),IF($O$13="〇",35500*0.3,IF($O$16="〇",35500*0.5,IF($O$19="〇",35500*0.8,35500))),B9="",0)</f>
        <v>0</v>
      </c>
      <c r="R9" s="66">
        <f>P9+Q9</f>
        <v>0</v>
      </c>
      <c r="S9" s="58">
        <f>N9*0.0276</f>
        <v>0</v>
      </c>
      <c r="T9" s="61">
        <f>_xlfn.IFS(B9="未就学児",IF($O$13="〇",8000*0.3,IF($O$16="〇",8000*0.5,IF($O$19="〇",8000*0.8,8000))),OR(B9="7～39歳",B9="40～64歳",B9="65～74歳"),IF($O$13="〇",16000*0.3,IF($O$16="〇",16000*0.5,IF($O$19="〇",16000*0.8,16000))),B9="",0)</f>
        <v>0</v>
      </c>
      <c r="U9" s="66">
        <f>S9+T9</f>
        <v>0</v>
      </c>
      <c r="V9" s="58">
        <f>IF(B9="",0,IF(B9="40～64歳",N9*0.023,0))</f>
        <v>0</v>
      </c>
      <c r="W9" s="61">
        <f>_xlfn.IFS(B9="40～64歳",IF($O$13="〇",16000*0.3,IF($O$16="〇",16000*0.5,IF($O$19="〇",16000*0.8,16000))),B9&lt;&gt;"40～64歳",0)</f>
        <v>0</v>
      </c>
      <c r="X9" s="66">
        <f>V9+W9</f>
        <v>0</v>
      </c>
      <c r="Y9" s="72">
        <f t="shared" si="8"/>
        <v>0</v>
      </c>
    </row>
    <row r="10" spans="1:25" ht="20.25">
      <c r="A10" s="6" t="s">
        <v>6</v>
      </c>
      <c r="B10" s="11">
        <f>COUNTA(B5:B9)</f>
        <v>0</v>
      </c>
      <c r="C10" s="15">
        <f>SUM(C4:C9)</f>
        <v>0</v>
      </c>
      <c r="D10" s="19">
        <f>SUM(D4:D9)</f>
        <v>0</v>
      </c>
      <c r="E10" s="24"/>
      <c r="F10" s="29">
        <f>SUM(F4:F9)</f>
        <v>0</v>
      </c>
      <c r="G10" s="33"/>
      <c r="H10" s="37">
        <f>SUM(H4:H9)</f>
        <v>0</v>
      </c>
      <c r="I10" s="42"/>
      <c r="J10" s="44">
        <f>SUM(J4:J9)</f>
        <v>0</v>
      </c>
      <c r="K10" s="44">
        <f>SUM(K4:K9)</f>
        <v>0</v>
      </c>
      <c r="L10" s="44">
        <f>SUM(L4:L9)</f>
        <v>0</v>
      </c>
      <c r="M10" s="50"/>
      <c r="N10" s="53">
        <f>SUM(N4:N9)</f>
        <v>0</v>
      </c>
      <c r="O10" s="53">
        <f>SUM(O4:O9)</f>
        <v>0</v>
      </c>
      <c r="P10" s="15">
        <f>SUM(P4:P9)</f>
        <v>0</v>
      </c>
      <c r="Q10" s="62">
        <f>SUM(Q4:Q9)</f>
        <v>0</v>
      </c>
      <c r="R10" s="67">
        <f>_xlfn.IFS(P10+Q10&gt;=660000,660000,P10+Q10&lt;660000,ROUNDDOWN(P10+Q10,-2))</f>
        <v>0</v>
      </c>
      <c r="S10" s="15">
        <f>SUM(S4:S9)</f>
        <v>0</v>
      </c>
      <c r="T10" s="62">
        <f>SUM(T4:T9)</f>
        <v>0</v>
      </c>
      <c r="U10" s="67">
        <f>_xlfn.IFS(S10+T10&gt;=260000,260000,S10+T10&lt;260000,ROUNDDOWN(S10+T10,-2))</f>
        <v>0</v>
      </c>
      <c r="V10" s="15">
        <f>SUM(V4:V9)</f>
        <v>0</v>
      </c>
      <c r="W10" s="62">
        <f>SUM(W4:W9)</f>
        <v>0</v>
      </c>
      <c r="X10" s="71">
        <f>_xlfn.IFS(V10+W10&gt;=170000,170000,V10+W10&lt;170000,ROUNDDOWN(V10+W10,-2))</f>
        <v>0</v>
      </c>
      <c r="Y10" s="73">
        <f t="shared" si="8"/>
        <v>0</v>
      </c>
    </row>
    <row r="12" spans="1:25">
      <c r="D12" s="20"/>
      <c r="F12" s="20"/>
      <c r="V12" s="70" t="s">
        <v>30</v>
      </c>
      <c r="W12" s="70"/>
      <c r="X12" s="70"/>
      <c r="Y12" s="74">
        <f>Y10/12</f>
        <v>0</v>
      </c>
    </row>
    <row r="13" spans="1:25" hidden="1">
      <c r="D13" s="20"/>
      <c r="F13" s="20"/>
      <c r="N13" s="54" t="s">
        <v>27</v>
      </c>
      <c r="O13" s="55" t="str">
        <f>IF(AND(C4="",F4="",C5="",F5=""),"×",IF(O10&lt;O14,"〇","×"))</f>
        <v>×</v>
      </c>
    </row>
    <row r="14" spans="1:25" hidden="1">
      <c r="D14" s="20"/>
      <c r="F14" s="20"/>
      <c r="N14" s="54" t="s">
        <v>24</v>
      </c>
      <c r="O14" s="48">
        <f>IF(J10=0,430000,430000+100000*(J10-1))</f>
        <v>430000</v>
      </c>
    </row>
    <row r="15" spans="1:25" hidden="1">
      <c r="D15" s="20"/>
      <c r="F15" s="20"/>
    </row>
    <row r="16" spans="1:25" hidden="1">
      <c r="D16" s="20"/>
      <c r="F16" s="20"/>
      <c r="N16" s="54" t="s">
        <v>28</v>
      </c>
      <c r="O16" s="55" t="str">
        <f>IF(AND(C4="",F4="",C5="",F5=""),"×",IF(O10&lt;O17,"〇","×"))</f>
        <v>×</v>
      </c>
    </row>
    <row r="17" spans="4:25" hidden="1">
      <c r="D17" s="20"/>
      <c r="F17" s="20"/>
      <c r="N17" s="54" t="s">
        <v>24</v>
      </c>
      <c r="O17" s="48">
        <f>IF(J10=0,430000+305000*$B$10,430000+305000*$B$10+100000*(J10-1))</f>
        <v>430000</v>
      </c>
    </row>
    <row r="18" spans="4:25" hidden="1">
      <c r="D18" s="20"/>
      <c r="F18" s="20"/>
    </row>
    <row r="19" spans="4:25" hidden="1">
      <c r="N19" s="54" t="s">
        <v>16</v>
      </c>
      <c r="O19" s="55" t="str">
        <f>IF(AND(C4="",F4="",C5="",F5=""),"×",IF(O10&lt;O20,"〇","×"))</f>
        <v>×</v>
      </c>
    </row>
    <row r="20" spans="4:25" hidden="1">
      <c r="N20" s="54" t="s">
        <v>24</v>
      </c>
      <c r="O20" s="48">
        <f>IF(J10=0,430000+560000*$B$10,430000+560000*$B$10+100000*(J10-1))</f>
        <v>430000</v>
      </c>
    </row>
    <row r="21" spans="4:25" hidden="1"/>
    <row r="22" spans="4:25">
      <c r="V22" s="70" t="s">
        <v>14</v>
      </c>
      <c r="W22" s="70"/>
      <c r="X22" s="70"/>
      <c r="Y22" s="70" t="str">
        <f>IF(O13="〇","7割軽減該当",IF(O16="〇","5割軽減該当",IF(O19="〇","2割軽減該当","非該当")))</f>
        <v>非該当</v>
      </c>
    </row>
    <row r="24" spans="4:25">
      <c r="T24" s="68"/>
    </row>
    <row r="29" spans="4:25">
      <c r="T29" s="68"/>
    </row>
    <row r="30" spans="4:25">
      <c r="T30" s="69"/>
    </row>
    <row r="31" spans="4:25">
      <c r="T31" s="69"/>
    </row>
  </sheetData>
  <sheetProtection password="DD0A" sheet="1" objects="1" scenarios="1" selectLockedCells="1"/>
  <mergeCells count="18">
    <mergeCell ref="A1:Y1"/>
    <mergeCell ref="C2:D2"/>
    <mergeCell ref="E2:H2"/>
    <mergeCell ref="P2:R2"/>
    <mergeCell ref="S2:U2"/>
    <mergeCell ref="V2:X2"/>
    <mergeCell ref="V12:X12"/>
    <mergeCell ref="V22:X22"/>
    <mergeCell ref="A2:A3"/>
    <mergeCell ref="B2:B3"/>
    <mergeCell ref="I2:I3"/>
    <mergeCell ref="J2:J3"/>
    <mergeCell ref="K2:K3"/>
    <mergeCell ref="L2:L3"/>
    <mergeCell ref="M2:M3"/>
    <mergeCell ref="N2:N3"/>
    <mergeCell ref="O2:O3"/>
    <mergeCell ref="Y2:Y3"/>
  </mergeCells>
  <phoneticPr fontId="1" type="Hiragana"/>
  <dataValidations count="6">
    <dataValidation type="list" allowBlank="1" showDropDown="0" showInputMessage="1" showErrorMessage="1" sqref="B6:B9">
      <formula1>"未就学児,7～39歳,40～64歳,65～74歳"</formula1>
    </dataValidation>
    <dataValidation type="list" allowBlank="1" showDropDown="0" showInputMessage="1" showErrorMessage="1" sqref="B4">
      <formula1>"39歳以下,40～64歳,65歳以上"</formula1>
    </dataValidation>
    <dataValidation type="list" allowBlank="1" showDropDown="0" showInputMessage="1" showErrorMessage="1" sqref="B5">
      <formula1>"39歳以下,40～64歳,65～74歳"</formula1>
    </dataValidation>
    <dataValidation type="list" allowBlank="1" showDropDown="0" showInputMessage="1" showErrorMessage="1" sqref="E4:E9">
      <formula1>"65歳未満,65歳以上"</formula1>
    </dataValidation>
    <dataValidation imeMode="halfAlpha" allowBlank="1" showDropDown="0" showInputMessage="1" showErrorMessage="1" sqref="F4:F9"/>
    <dataValidation imeMode="off" allowBlank="1" showDropDown="0" showInputMessage="1" showErrorMessage="1" sqref="C4:C9"/>
  </dataValidations>
  <pageMargins left="0.7" right="0.7" top="0.75" bottom="0.75" header="0.3" footer="0.3"/>
  <pageSetup paperSize="9" scale="5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簡易試算ツール</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　郷司</dc:creator>
  <cp:lastModifiedBy>千葉　郷司</cp:lastModifiedBy>
  <dcterms:created xsi:type="dcterms:W3CDTF">2024-04-16T04:53:02Z</dcterms:created>
  <dcterms:modified xsi:type="dcterms:W3CDTF">2025-02-04T07:38:10Z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2025-02-04T07:38:10Z</vt:filetime>
  </property>
</Properties>
</file>